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myvitaflo.sharepoint.com/sites/archive-2021-02-15T100221Z/VitafloTeams/Marketing/Shared Documents/VIA/Tools/"/>
    </mc:Choice>
  </mc:AlternateContent>
  <xr:revisionPtr revIDLastSave="0" documentId="8_{0255088F-27AD-4D93-A615-9B639E34286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w To Guide" sheetId="5" r:id="rId1"/>
    <sheet name="Transition Calculator" sheetId="1" r:id="rId2"/>
    <sheet name="Patient Handout" sheetId="2" r:id="rId3"/>
    <sheet name="Version control" sheetId="6" state="hidden" r:id="rId4"/>
  </sheets>
  <definedNames>
    <definedName name="_xlnm.Print_Area" localSheetId="0">'How To Guide'!$A$1:$E$23</definedName>
    <definedName name="_xlnm.Print_Area" localSheetId="2">'Patient Handout'!$A$1:$P$53</definedName>
    <definedName name="_xlnm.Print_Area" localSheetId="1">'Transition Calculator'!$A$1:$O$42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" i="1" l="1"/>
  <c r="S11" i="1" s="1"/>
  <c r="E30" i="1"/>
  <c r="S8" i="1" l="1"/>
  <c r="S7" i="1"/>
  <c r="E21" i="1"/>
  <c r="S9" i="1" l="1"/>
  <c r="E22" i="1"/>
  <c r="D15" i="2" l="1"/>
  <c r="H15" i="2" l="1"/>
  <c r="X9" i="2" l="1"/>
  <c r="D17" i="1" l="1"/>
  <c r="M17" i="1" s="1"/>
  <c r="S5" i="1" s="1"/>
  <c r="F30" i="1" s="1"/>
  <c r="E37" i="1"/>
  <c r="B30" i="2"/>
  <c r="B9" i="2"/>
  <c r="E3" i="2"/>
  <c r="E23" i="1"/>
  <c r="D19" i="1"/>
  <c r="E32" i="1" l="1"/>
  <c r="E38" i="1"/>
  <c r="T16" i="2"/>
  <c r="E33" i="1"/>
  <c r="E31" i="1"/>
  <c r="X10" i="2"/>
  <c r="G30" i="1"/>
  <c r="I30" i="1"/>
  <c r="J30" i="1"/>
  <c r="O30" i="1"/>
  <c r="H30" i="1"/>
  <c r="M30" i="1"/>
  <c r="N30" i="1"/>
  <c r="L30" i="1"/>
  <c r="K30" i="1"/>
  <c r="C37" i="1"/>
  <c r="L15" i="2" s="1"/>
  <c r="C38" i="1"/>
  <c r="N15" i="2" s="1"/>
  <c r="M18" i="1"/>
  <c r="F23" i="2" l="1"/>
  <c r="F20" i="2"/>
  <c r="F19" i="2"/>
  <c r="F18" i="2"/>
  <c r="H17" i="2"/>
  <c r="D17" i="2"/>
  <c r="F24" i="2"/>
  <c r="F27" i="2"/>
  <c r="F17" i="2"/>
  <c r="F26" i="2"/>
  <c r="F22" i="2"/>
  <c r="J17" i="2"/>
  <c r="F25" i="2"/>
  <c r="F21" i="2"/>
  <c r="F35" i="1"/>
  <c r="F37" i="1" s="1"/>
  <c r="F34" i="1"/>
  <c r="G31" i="1"/>
  <c r="L17" i="2"/>
  <c r="N34" i="1"/>
  <c r="N35" i="1"/>
  <c r="N37" i="1" s="1"/>
  <c r="O33" i="1"/>
  <c r="O35" i="1"/>
  <c r="O37" i="1" s="1"/>
  <c r="O34" i="1"/>
  <c r="J33" i="1"/>
  <c r="J34" i="1"/>
  <c r="J35" i="1"/>
  <c r="J37" i="1" s="1"/>
  <c r="K33" i="1"/>
  <c r="K35" i="1"/>
  <c r="K37" i="1" s="1"/>
  <c r="K34" i="1"/>
  <c r="M35" i="1"/>
  <c r="M37" i="1" s="1"/>
  <c r="M34" i="1"/>
  <c r="I33" i="1"/>
  <c r="I35" i="1"/>
  <c r="I37" i="1" s="1"/>
  <c r="I34" i="1"/>
  <c r="F33" i="1"/>
  <c r="L33" i="1"/>
  <c r="L35" i="1"/>
  <c r="L37" i="1" s="1"/>
  <c r="L34" i="1"/>
  <c r="H35" i="1"/>
  <c r="H37" i="1" s="1"/>
  <c r="H34" i="1"/>
  <c r="G33" i="1"/>
  <c r="G35" i="1"/>
  <c r="G34" i="1"/>
  <c r="O31" i="1"/>
  <c r="O32" i="1"/>
  <c r="G32" i="1"/>
  <c r="I31" i="1"/>
  <c r="L31" i="1"/>
  <c r="J31" i="1"/>
  <c r="K32" i="1"/>
  <c r="N32" i="1"/>
  <c r="N33" i="1"/>
  <c r="M33" i="1"/>
  <c r="H31" i="1"/>
  <c r="H33" i="1"/>
  <c r="J32" i="1"/>
  <c r="I32" i="1"/>
  <c r="M32" i="1"/>
  <c r="M31" i="1"/>
  <c r="N31" i="1"/>
  <c r="F31" i="1"/>
  <c r="H32" i="1"/>
  <c r="K31" i="1"/>
  <c r="L32" i="1"/>
  <c r="F32" i="1"/>
  <c r="G37" i="1" l="1"/>
  <c r="G38" i="1" s="1"/>
  <c r="N19" i="2" s="1"/>
  <c r="I38" i="1"/>
  <c r="N21" i="2" s="1"/>
  <c r="H38" i="1"/>
  <c r="N20" i="2" s="1"/>
  <c r="D21" i="2"/>
  <c r="D24" i="2"/>
  <c r="H24" i="2"/>
  <c r="H21" i="2"/>
  <c r="D27" i="2"/>
  <c r="D25" i="2"/>
  <c r="H25" i="2"/>
  <c r="D23" i="2"/>
  <c r="J20" i="2"/>
  <c r="H36" i="1"/>
  <c r="J18" i="2"/>
  <c r="F36" i="1"/>
  <c r="J23" i="2"/>
  <c r="K36" i="1"/>
  <c r="J25" i="2"/>
  <c r="M36" i="1"/>
  <c r="J19" i="2"/>
  <c r="G36" i="1"/>
  <c r="J27" i="2"/>
  <c r="O36" i="1"/>
  <c r="J26" i="2"/>
  <c r="N36" i="1"/>
  <c r="J24" i="2"/>
  <c r="L36" i="1"/>
  <c r="J21" i="2"/>
  <c r="I36" i="1"/>
  <c r="J22" i="2"/>
  <c r="J36" i="1"/>
  <c r="D26" i="2"/>
  <c r="H27" i="2"/>
  <c r="H19" i="2"/>
  <c r="H26" i="2"/>
  <c r="H23" i="2"/>
  <c r="H22" i="2"/>
  <c r="H20" i="2"/>
  <c r="D20" i="2"/>
  <c r="D22" i="2"/>
  <c r="D19" i="2"/>
  <c r="D18" i="2"/>
  <c r="L20" i="2"/>
  <c r="L24" i="2"/>
  <c r="L26" i="2"/>
  <c r="L23" i="2"/>
  <c r="N17" i="2"/>
  <c r="L19" i="2" l="1"/>
  <c r="L21" i="2"/>
  <c r="H18" i="2"/>
  <c r="F38" i="1"/>
  <c r="N18" i="2" s="1"/>
  <c r="M38" i="1"/>
  <c r="N25" i="2" s="1"/>
  <c r="L25" i="2"/>
  <c r="J38" i="1"/>
  <c r="N22" i="2" s="1"/>
  <c r="L22" i="2"/>
  <c r="O38" i="1"/>
  <c r="N27" i="2" s="1"/>
  <c r="L27" i="2"/>
  <c r="K38" i="1"/>
  <c r="N23" i="2" s="1"/>
  <c r="N38" i="1"/>
  <c r="N26" i="2" s="1"/>
  <c r="L38" i="1"/>
  <c r="N24" i="2" s="1"/>
  <c r="L18" i="2" l="1"/>
</calcChain>
</file>

<file path=xl/sharedStrings.xml><?xml version="1.0" encoding="utf-8"?>
<sst xmlns="http://schemas.openxmlformats.org/spreadsheetml/2006/main" count="136" uniqueCount="121">
  <si>
    <t xml:space="preserve"> ‘How to’ guide for the PKU trio™ transition calculator
</t>
  </si>
  <si>
    <r>
      <t xml:space="preserve">The </t>
    </r>
    <r>
      <rPr>
        <b/>
        <sz val="11"/>
        <color rgb="FF201547"/>
        <rFont val="Calibri"/>
        <family val="2"/>
        <scheme val="minor"/>
      </rPr>
      <t>PKU trio</t>
    </r>
    <r>
      <rPr>
        <sz val="11"/>
        <color rgb="FF201547"/>
        <rFont val="Calibri"/>
        <family val="2"/>
        <scheme val="minor"/>
      </rPr>
      <t xml:space="preserve"> transition calculator facilitates your patient’s transition from their current phe-free formula to PKU trio™.  
It is intended for use by healthcare professionals only*.
This calculator is designed to provide an individualized transition plan with the following considerations:
•  How gradually do I want my patient to transition?
•  Do I want to use grams, scoops or household measures?
•  Would my patient benefit from a higher or lower concentration?
When you’ve decided on a transition plan, the calculator will generate a  handout for you to give to your patient. 
Simply follow the steps below to help you use the calculator.</t>
    </r>
  </si>
  <si>
    <t>Step</t>
  </si>
  <si>
    <t>Action</t>
  </si>
  <si>
    <t>Notes to consider</t>
  </si>
  <si>
    <r>
      <rPr>
        <b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 xml:space="preserve"> 
Details of current phe-free formula</t>
    </r>
  </si>
  <si>
    <t>Enter details of the current phe-free formula including:
• Prescribed amount in grams
• Protein equivalent (PE) per 100g
• Calories per 100g (kcal)</t>
  </si>
  <si>
    <t>Mandatory fields</t>
  </si>
  <si>
    <r>
      <rPr>
        <b/>
        <sz val="11"/>
        <color theme="0"/>
        <rFont val="Calibri"/>
        <family val="2"/>
        <scheme val="minor"/>
      </rPr>
      <t xml:space="preserve">2 
</t>
    </r>
    <r>
      <rPr>
        <sz val="11"/>
        <color theme="0"/>
        <rFont val="Calibri"/>
        <family val="2"/>
        <scheme val="minor"/>
      </rPr>
      <t>Current feeding plan</t>
    </r>
  </si>
  <si>
    <t>Enter the number of feeds currently taken by your patient each day.</t>
  </si>
  <si>
    <r>
      <rPr>
        <b/>
        <sz val="11"/>
        <color rgb="FFE76F51"/>
        <rFont val="Calibri"/>
        <family val="2"/>
        <scheme val="minor"/>
      </rPr>
      <t>Mandatory field</t>
    </r>
    <r>
      <rPr>
        <sz val="11"/>
        <color rgb="FF201547"/>
        <rFont val="Calibri"/>
        <family val="2"/>
        <scheme val="minor"/>
      </rPr>
      <t xml:space="preserve">
The calculator will use the same number of feeds for </t>
    </r>
    <r>
      <rPr>
        <b/>
        <sz val="11"/>
        <color rgb="FF201547"/>
        <rFont val="Calibri"/>
        <family val="2"/>
        <scheme val="minor"/>
      </rPr>
      <t>PKU trio</t>
    </r>
  </si>
  <si>
    <t>3 
Preferred method of measurement**</t>
  </si>
  <si>
    <t xml:space="preserve">Choose how you would like to measure PKU trio and the patient’s current phe-free formula.
Measurement is available in:
</t>
  </si>
  <si>
    <r>
      <rPr>
        <b/>
        <sz val="11"/>
        <color rgb="FFE76F51"/>
        <rFont val="Calibri"/>
        <family val="2"/>
        <scheme val="minor"/>
      </rPr>
      <t>Mandatory fields</t>
    </r>
    <r>
      <rPr>
        <sz val="11"/>
        <color rgb="FFE76F51"/>
        <rFont val="Calibri"/>
        <family val="2"/>
        <scheme val="minor"/>
      </rPr>
      <t xml:space="preserve">
</t>
    </r>
    <r>
      <rPr>
        <sz val="11"/>
        <color rgb="FF201547"/>
        <rFont val="Calibri"/>
        <family val="2"/>
        <scheme val="minor"/>
      </rPr>
      <t>Scoops are rounded to the nearest whole unit and tablespoons are rounded to the nearest ½ unit in the calculator.</t>
    </r>
  </si>
  <si>
    <t>• Scoops</t>
  </si>
  <si>
    <t>If using scoops, always use the scoop provided in the product.</t>
  </si>
  <si>
    <t>• Tablespoons</t>
  </si>
  <si>
    <r>
      <t xml:space="preserve">If using tablespoons, note that one tablespoon measure provides approximately 9g </t>
    </r>
    <r>
      <rPr>
        <b/>
        <sz val="11"/>
        <color rgb="FF201547"/>
        <rFont val="Calibri"/>
        <family val="2"/>
        <scheme val="minor"/>
      </rPr>
      <t>PKU trio</t>
    </r>
    <r>
      <rPr>
        <sz val="11"/>
        <color rgb="FF201547"/>
        <rFont val="Calibri"/>
        <family val="2"/>
        <scheme val="minor"/>
      </rPr>
      <t>.</t>
    </r>
  </si>
  <si>
    <t>• Grams</t>
  </si>
  <si>
    <t>A gram scale provides the most accurate means of measurement.</t>
  </si>
  <si>
    <t>4 
Household measurement values for current phe-free formula</t>
  </si>
  <si>
    <t>Enter how much of the current phe-free formula is held by a level scoop and/or a level tablespoon.</t>
  </si>
  <si>
    <r>
      <t xml:space="preserve">Optional field
</t>
    </r>
    <r>
      <rPr>
        <sz val="11"/>
        <color rgb="FF201547"/>
        <rFont val="Calibri"/>
        <family val="2"/>
        <scheme val="minor"/>
      </rPr>
      <t>If this information is not entered, the calculator will not be able to provide a transition guide based on scoop or tablespoon measures – only ‘gram’ quantities will be generated.</t>
    </r>
  </si>
  <si>
    <r>
      <rPr>
        <b/>
        <sz val="11"/>
        <color theme="0"/>
        <rFont val="Calibri"/>
        <family val="2"/>
        <scheme val="minor"/>
      </rPr>
      <t>5</t>
    </r>
    <r>
      <rPr>
        <sz val="11"/>
        <color theme="0"/>
        <rFont val="Calibri"/>
        <family val="2"/>
        <scheme val="minor"/>
      </rPr>
      <t xml:space="preserve">
Calorie density</t>
    </r>
  </si>
  <si>
    <t>Enter the calorie density that you require for PKU trio and throughout the transition process.  Calorie density can be provided as one of the following:
• kcal per fl oz
• kcal per 100ml</t>
  </si>
  <si>
    <r>
      <rPr>
        <b/>
        <sz val="11"/>
        <color rgb="FF2A9D8F"/>
        <rFont val="Calibri"/>
        <family val="2"/>
        <scheme val="minor"/>
      </rPr>
      <t>Optional field</t>
    </r>
    <r>
      <rPr>
        <sz val="11"/>
        <color theme="1"/>
        <rFont val="Calibri"/>
        <family val="2"/>
        <scheme val="minor"/>
      </rPr>
      <t xml:space="preserve">
Calorie density should be determined by clinical judgement with attention to increasing osmolality and additional fluids provided to meet individual fluid requirements.
If a desired calorie density is not entered, the calculator will use standard dilution of PKU trio (26kcal/fl.oz or 88kcal/100ml).</t>
    </r>
  </si>
  <si>
    <r>
      <rPr>
        <b/>
        <sz val="11"/>
        <color theme="0"/>
        <rFont val="Calibri"/>
        <family val="2"/>
        <scheme val="minor"/>
      </rPr>
      <t>6</t>
    </r>
    <r>
      <rPr>
        <sz val="11"/>
        <color theme="0"/>
        <rFont val="Calibri"/>
        <family val="2"/>
        <scheme val="minor"/>
      </rPr>
      <t xml:space="preserve">
Steps required for transition</t>
    </r>
  </si>
  <si>
    <t>Enter the number of steps required for transition.  
The number of steps can range between 2 and 10.</t>
  </si>
  <si>
    <r>
      <rPr>
        <b/>
        <sz val="11"/>
        <color rgb="FFE76F51"/>
        <rFont val="Calibri"/>
        <family val="2"/>
        <scheme val="minor"/>
      </rPr>
      <t>Mandatory fields</t>
    </r>
    <r>
      <rPr>
        <sz val="11"/>
        <color theme="1"/>
        <rFont val="Calibri"/>
        <family val="2"/>
        <scheme val="minor"/>
      </rPr>
      <t xml:space="preserve">
Consider a longer transition if:
• The taste difference between PKU trio and the current phe-free formula is significant
• Transitioning from phe-free formula for infants to PKU trio where there is likely to be an increase in osmolality</t>
    </r>
  </si>
  <si>
    <r>
      <rPr>
        <b/>
        <sz val="11"/>
        <color theme="0"/>
        <rFont val="Calibri"/>
        <family val="2"/>
        <scheme val="minor"/>
      </rPr>
      <t>7</t>
    </r>
    <r>
      <rPr>
        <sz val="11"/>
        <color theme="0"/>
        <rFont val="Calibri"/>
        <family val="2"/>
        <scheme val="minor"/>
      </rPr>
      <t xml:space="preserve">
Transition</t>
    </r>
  </si>
  <si>
    <r>
      <t xml:space="preserve">The calculator will now provide a transition guide from the current phe-free formula to </t>
    </r>
    <r>
      <rPr>
        <b/>
        <sz val="11"/>
        <color theme="1"/>
        <rFont val="Calibri"/>
        <family val="2"/>
        <scheme val="minor"/>
      </rPr>
      <t>PKU trio</t>
    </r>
    <r>
      <rPr>
        <sz val="11"/>
        <color theme="1"/>
        <rFont val="Calibri"/>
        <family val="2"/>
        <scheme val="minor"/>
      </rPr>
      <t xml:space="preserve"> at the desired calorie density and using the defined number of transition steps.</t>
    </r>
  </si>
  <si>
    <t>The calculator will provide information on the energy excess or deficit created by the transition.  An energy deficit is denoted by a negative (-) figure and an energy excess is denoted by a positive (+) figure.
Ensure plenty of fluids are taken through the day to meet individual  requirements.</t>
  </si>
  <si>
    <r>
      <rPr>
        <b/>
        <sz val="11"/>
        <color theme="0"/>
        <rFont val="Calibri"/>
        <family val="2"/>
        <scheme val="minor"/>
      </rPr>
      <t>8</t>
    </r>
    <r>
      <rPr>
        <sz val="11"/>
        <color theme="0"/>
        <rFont val="Calibri"/>
        <family val="2"/>
        <scheme val="minor"/>
      </rPr>
      <t xml:space="preserve">
Handout</t>
    </r>
  </si>
  <si>
    <t xml:space="preserve">Click on the ‘View Patient Handout’ button to view the patient handout which can be used for your records and to give to the patient or caregiver.  </t>
  </si>
  <si>
    <t>A patient identifier must be added by the dietitian before using.  There is also space provided for additional comments.</t>
  </si>
  <si>
    <t xml:space="preserve">* The calculator provides guidance only and clinical judgement should be applied for individualized feeding plans.
** Household measurements are based on standard US, dry household measures. All measures are level and unpacked. These values are approximations only: results can vary significantly based on the individual, device, and method. Vitaflo recommends using a gram scale for greatest accuracy. The scoop Vitaflo provides has been validated with Vitaflo products, so is preferable to household measurements. </t>
  </si>
  <si>
    <t>Transition Calculator</t>
  </si>
  <si>
    <t>Protein equivalent (PE) per 100g current phe-free formula</t>
  </si>
  <si>
    <t>* Mandatory field</t>
  </si>
  <si>
    <t>KEY</t>
  </si>
  <si>
    <t>Mandatory Field</t>
  </si>
  <si>
    <t>FOR USE IN CALCULATIONS</t>
  </si>
  <si>
    <t>Calories per 100g current phe-free formula (kcal)</t>
  </si>
  <si>
    <t>Optional Fields</t>
  </si>
  <si>
    <t>Steps to use in Transition to trio</t>
  </si>
  <si>
    <t>Energy per 1g current phe free formula (kcal)</t>
  </si>
  <si>
    <t>Unit of measure for Final Volume</t>
  </si>
  <si>
    <t>Weight of current phe-free formula prescribed per day (g)</t>
  </si>
  <si>
    <t>Energy Density to use (fl oz)</t>
  </si>
  <si>
    <t>Energy Density to use (ml)</t>
  </si>
  <si>
    <t>Number of feeds per day</t>
  </si>
  <si>
    <t>Energy Density to use</t>
  </si>
  <si>
    <t>Preferred method of measurement</t>
  </si>
  <si>
    <t>tablespoons</t>
  </si>
  <si>
    <t>Multiplier</t>
  </si>
  <si>
    <t>If optional fields not used, will default to PKU trio as below:</t>
  </si>
  <si>
    <t>Calories per 1g PKU trio</t>
  </si>
  <si>
    <t>AND / OR</t>
  </si>
  <si>
    <t>Scoops</t>
  </si>
  <si>
    <t>Phe-free formula scoop weight (g)</t>
  </si>
  <si>
    <t>* please enter weight</t>
  </si>
  <si>
    <t>PKU trio calorie density (kcal/fl oz)</t>
  </si>
  <si>
    <t>Tablespoons</t>
  </si>
  <si>
    <t>Phe-free formula tablespoon weight (g)</t>
  </si>
  <si>
    <t>PKU trio calorie density (kcal/ml)</t>
  </si>
  <si>
    <t>PE/day (g) from phe-free formula based on prescribed quantity</t>
  </si>
  <si>
    <t>Recommended steps in transition to PKU trio</t>
  </si>
  <si>
    <t>Defaulted unit of measure</t>
  </si>
  <si>
    <t>Total calories per day from current phe-free formula (kcal)</t>
  </si>
  <si>
    <t>OR</t>
  </si>
  <si>
    <t>fl oz</t>
  </si>
  <si>
    <t>Desired calorie density (kcal/fl oz)</t>
  </si>
  <si>
    <t>ml</t>
  </si>
  <si>
    <t>Desired calorie density (kcal/ml)</t>
  </si>
  <si>
    <t>Desired steps in transition to trio</t>
  </si>
  <si>
    <t>Max 10</t>
  </si>
  <si>
    <t>Transition step</t>
  </si>
  <si>
    <t xml:space="preserve">Transitioning </t>
  </si>
  <si>
    <t>Baseline</t>
  </si>
  <si>
    <t>Grams of current phe-free formula (g)</t>
  </si>
  <si>
    <t>Number of scoops of current phe-free formula</t>
  </si>
  <si>
    <t>Number of tablespoons of current phe-free formula</t>
  </si>
  <si>
    <t>Grams of PKU trio (g)</t>
  </si>
  <si>
    <t>Number of Scoops of PKU trio</t>
  </si>
  <si>
    <t>Number of tablespoons of PKU trio</t>
  </si>
  <si>
    <t>Calorie difference from baseline (kcal/day)</t>
  </si>
  <si>
    <t>Notices</t>
  </si>
  <si>
    <t xml:space="preserve">'Added water' cannot be reported as it will vary depending on the bulk density of the powder from which the child is transitioning on to PKU trio. </t>
  </si>
  <si>
    <t>Common practice is to mix both medical foods together when transitioning. Please note that the stability of either medical food cannot be guaranteed when mixed.</t>
  </si>
  <si>
    <t>Please refer to individual manufacturer guidance for instructions regarding storage when medical foods are reconstituted.  Please refer to individual product labels for allergen advice.</t>
  </si>
  <si>
    <t>PKU trio is food for special medical purposes and must be used under medical supervision. PKU trio is for the dietary management of Phenylketonuria (PKU).</t>
  </si>
  <si>
    <t>Patient Handout</t>
  </si>
  <si>
    <t>Date:</t>
  </si>
  <si>
    <t>Patient Identifier:</t>
  </si>
  <si>
    <t>* Please enter information into the white boxes where applicable</t>
  </si>
  <si>
    <t>* Please Print Preview before printing to ensure all information is included on one sheet</t>
  </si>
  <si>
    <t>The following plan is to transition from your current medical food to PKU trio.</t>
  </si>
  <si>
    <t>The two medical foods can be combined and prepared to the volumes shown below: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</si>
  <si>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</si>
  <si>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</si>
  <si>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</si>
  <si>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</si>
  <si>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</si>
  <si>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</si>
  <si>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</si>
  <si>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</si>
  <si>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</si>
  <si>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</si>
  <si>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>Note that prepared PKU trio should be stored in a refrigerator and consumed within 24 hours.</t>
  </si>
  <si>
    <t>Please refer to individual manufacturers guidance for preparation and storage instructions.</t>
  </si>
  <si>
    <t>Additional Advice:</t>
  </si>
  <si>
    <t>All household and scoop measurements are given for a level, unpacked measure taken directly from the can and are approximate.  For accuracy, a gram scale is always recommended.</t>
  </si>
  <si>
    <t>Dietitian:</t>
  </si>
  <si>
    <t>Contact Details:</t>
  </si>
  <si>
    <t>PKU trio is food for special medical purposes and must be used under medical supervision. PKU trio is for the dietary management of Phenylketonuria (PKU)</t>
  </si>
  <si>
    <t xml:space="preserve">Version </t>
  </si>
  <si>
    <t>Changes</t>
  </si>
  <si>
    <t>Date</t>
  </si>
  <si>
    <t>Branding and version control on how to guide</t>
  </si>
  <si>
    <t>Version: 1.2</t>
  </si>
  <si>
    <t>Date: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</si>
</sst>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+0;\-0;0"/>
  </numFmts>
  <fonts count="4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201547"/>
      <name val="Calibri"/>
      <family val="2"/>
      <scheme val="minor"/>
    </font>
    <font>
      <sz val="9"/>
      <color rgb="FF201547"/>
      <name val="Calibri"/>
      <family val="2"/>
      <scheme val="minor"/>
    </font>
    <font>
      <sz val="11"/>
      <color rgb="FF43365C"/>
      <name val="Calibri"/>
      <family val="2"/>
      <scheme val="minor"/>
    </font>
    <font>
      <b/>
      <sz val="11"/>
      <color rgb="FF201547"/>
      <name val="Calibri"/>
      <family val="2"/>
      <scheme val="minor"/>
    </font>
    <font>
      <b/>
      <sz val="10"/>
      <color rgb="FF201547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DFE1EA"/>
      <name val="Calibri"/>
      <family val="2"/>
      <scheme val="minor"/>
    </font>
    <font>
      <b/>
      <sz val="12"/>
      <color rgb="FF201547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rgb="FF43365C"/>
      <name val="Calibri"/>
      <family val="2"/>
      <scheme val="minor"/>
    </font>
    <font>
      <b/>
      <sz val="10"/>
      <color rgb="FF43365C"/>
      <name val="Calibri"/>
      <family val="2"/>
      <scheme val="minor"/>
    </font>
    <font>
      <b/>
      <sz val="12"/>
      <color rgb="FF43365C"/>
      <name val="Calibri"/>
      <family val="2"/>
      <scheme val="minor"/>
    </font>
    <font>
      <b/>
      <sz val="13"/>
      <color rgb="FF201547"/>
      <name val="Calibri"/>
      <family val="2"/>
      <scheme val="minor"/>
    </font>
    <font>
      <sz val="14"/>
      <color rgb="FF201547"/>
      <name val="Calibri"/>
      <family val="2"/>
      <scheme val="minor"/>
    </font>
    <font>
      <b/>
      <sz val="14"/>
      <color rgb="FF201547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E76F51"/>
      <name val="Calibri"/>
      <family val="2"/>
      <scheme val="minor"/>
    </font>
    <font>
      <b/>
      <sz val="11"/>
      <color rgb="FFE76F51"/>
      <name val="Calibri"/>
      <family val="2"/>
      <scheme val="minor"/>
    </font>
    <font>
      <sz val="12"/>
      <color rgb="FF222222"/>
      <name val="Arial"/>
      <family val="2"/>
    </font>
    <font>
      <b/>
      <sz val="14"/>
      <color theme="0"/>
      <name val="Calibri"/>
      <family val="2"/>
      <scheme val="minor"/>
    </font>
    <font>
      <sz val="12"/>
      <color rgb="FF201547"/>
      <name val="Calibri"/>
      <family val="2"/>
    </font>
    <font>
      <b/>
      <sz val="11"/>
      <color rgb="FF2A9D8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2015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95B7C"/>
        <bgColor indexed="64"/>
      </patternFill>
    </fill>
    <fill>
      <patternFill patternType="solid">
        <fgColor rgb="FFDFE1EA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E76F51"/>
        <bgColor indexed="64"/>
      </patternFill>
    </fill>
    <fill>
      <patternFill patternType="solid">
        <fgColor rgb="FF2A9D8F"/>
        <bgColor indexed="64"/>
      </patternFill>
    </fill>
    <fill>
      <patternFill patternType="solid">
        <fgColor rgb="FF43365C"/>
        <bgColor indexed="64"/>
      </patternFill>
    </fill>
    <fill>
      <patternFill patternType="solid">
        <fgColor rgb="FFE6E8F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201547"/>
      </bottom>
      <diagonal/>
    </border>
    <border>
      <left/>
      <right/>
      <top style="thin">
        <color rgb="FF201547"/>
      </top>
      <bottom style="thin">
        <color rgb="FF201547"/>
      </bottom>
      <diagonal/>
    </border>
    <border>
      <left/>
      <right/>
      <top style="thin">
        <color rgb="FF201547"/>
      </top>
      <bottom/>
      <diagonal/>
    </border>
    <border>
      <left style="medium">
        <color rgb="FF201547"/>
      </left>
      <right/>
      <top/>
      <bottom/>
      <diagonal/>
    </border>
    <border>
      <left style="thin">
        <color rgb="FF201547"/>
      </left>
      <right style="thin">
        <color rgb="FF201547"/>
      </right>
      <top style="thin">
        <color rgb="FF201547"/>
      </top>
      <bottom style="thin">
        <color rgb="FF201547"/>
      </bottom>
      <diagonal/>
    </border>
    <border>
      <left style="thin">
        <color rgb="FF201547"/>
      </left>
      <right style="thin">
        <color rgb="FF201547"/>
      </right>
      <top style="thin">
        <color rgb="FF201547"/>
      </top>
      <bottom/>
      <diagonal/>
    </border>
    <border>
      <left style="thin">
        <color rgb="FF201547"/>
      </left>
      <right style="thin">
        <color rgb="FF201547"/>
      </right>
      <top/>
      <bottom style="thin">
        <color rgb="FF201547"/>
      </bottom>
      <diagonal/>
    </border>
    <border>
      <left style="thin">
        <color rgb="FF201547"/>
      </left>
      <right/>
      <top style="thin">
        <color rgb="FF201547"/>
      </top>
      <bottom style="thin">
        <color rgb="FF201547"/>
      </bottom>
      <diagonal/>
    </border>
    <border>
      <left/>
      <right style="thin">
        <color rgb="FF201547"/>
      </right>
      <top style="thin">
        <color rgb="FF201547"/>
      </top>
      <bottom style="thin">
        <color rgb="FF201547"/>
      </bottom>
      <diagonal/>
    </border>
    <border>
      <left style="thin">
        <color rgb="FF201547"/>
      </left>
      <right style="thin">
        <color rgb="FF201547"/>
      </right>
      <top/>
      <bottom/>
      <diagonal/>
    </border>
    <border>
      <left style="thin">
        <color rgb="FF201547"/>
      </left>
      <right style="thin">
        <color rgb="FF201547"/>
      </right>
      <top/>
      <bottom style="thin">
        <color rgb="FFC7C1CF"/>
      </bottom>
      <diagonal/>
    </border>
    <border>
      <left style="thin">
        <color rgb="FF201547"/>
      </left>
      <right style="thin">
        <color rgb="FF201547"/>
      </right>
      <top style="thin">
        <color rgb="FFC7C1CF"/>
      </top>
      <bottom style="thin">
        <color rgb="FFC7C1CF"/>
      </bottom>
      <diagonal/>
    </border>
    <border>
      <left style="thin">
        <color rgb="FF201547"/>
      </left>
      <right style="thin">
        <color rgb="FF201547"/>
      </right>
      <top style="thin">
        <color rgb="FF201547"/>
      </top>
      <bottom style="thin">
        <color rgb="FFC7C1CF"/>
      </bottom>
      <diagonal/>
    </border>
    <border>
      <left style="thin">
        <color rgb="FF201547"/>
      </left>
      <right style="thin">
        <color rgb="FF201547"/>
      </right>
      <top style="thin">
        <color rgb="FF201547"/>
      </top>
      <bottom style="thin">
        <color rgb="FF695B7C"/>
      </bottom>
      <diagonal/>
    </border>
    <border>
      <left style="thin">
        <color rgb="FF201547"/>
      </left>
      <right style="thin">
        <color rgb="FF201547"/>
      </right>
      <top style="thin">
        <color rgb="FF695B7C"/>
      </top>
      <bottom style="thin">
        <color rgb="FF695B7C"/>
      </bottom>
      <diagonal/>
    </border>
  </borders>
  <cellStyleXfs count="3">
    <xf numFmtId="0" fontId="0" fillId="0" borderId="0"/>
    <xf numFmtId="0" fontId="37" fillId="6" borderId="0" applyNumberFormat="0" applyBorder="0" applyAlignment="0" applyProtection="0"/>
    <xf numFmtId="0" fontId="1" fillId="7" borderId="0" applyNumberFormat="0" applyBorder="0" applyAlignment="0" applyProtection="0"/>
  </cellStyleXfs>
  <cellXfs count="217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0" fillId="0" borderId="0" xfId="0" applyAlignment="1">
      <alignment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0" fillId="0" borderId="3" xfId="0" applyBorder="1"/>
    <xf numFmtId="0" fontId="19" fillId="0" borderId="0" xfId="0" applyFont="1"/>
    <xf numFmtId="0" fontId="19" fillId="0" borderId="1" xfId="0" applyFont="1" applyBorder="1"/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1" xfId="0" applyFont="1" applyBorder="1" applyAlignment="1">
      <alignment vertical="center" wrapText="1"/>
    </xf>
    <xf numFmtId="0" fontId="21" fillId="0" borderId="0" xfId="0" applyFont="1"/>
    <xf numFmtId="0" fontId="19" fillId="0" borderId="0" xfId="0" applyFont="1" applyAlignment="1">
      <alignment vertical="center" wrapText="1"/>
    </xf>
    <xf numFmtId="0" fontId="19" fillId="0" borderId="2" xfId="0" applyFont="1" applyBorder="1" applyAlignment="1">
      <alignment vertical="top"/>
    </xf>
    <xf numFmtId="0" fontId="19" fillId="0" borderId="2" xfId="0" applyFont="1" applyBorder="1" applyAlignment="1">
      <alignment horizontal="center" vertical="top"/>
    </xf>
    <xf numFmtId="1" fontId="19" fillId="0" borderId="2" xfId="0" applyNumberFormat="1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horizontal="center" vertical="top"/>
    </xf>
    <xf numFmtId="1" fontId="19" fillId="0" borderId="1" xfId="0" applyNumberFormat="1" applyFont="1" applyBorder="1" applyAlignment="1">
      <alignment horizontal="center" vertical="top"/>
    </xf>
    <xf numFmtId="165" fontId="19" fillId="0" borderId="2" xfId="0" applyNumberFormat="1" applyFont="1" applyBorder="1" applyAlignment="1">
      <alignment horizontal="center" vertical="top"/>
    </xf>
    <xf numFmtId="0" fontId="24" fillId="0" borderId="0" xfId="0" applyFont="1" applyAlignment="1">
      <alignment horizontal="center"/>
    </xf>
    <xf numFmtId="0" fontId="25" fillId="0" borderId="0" xfId="0" applyFont="1"/>
    <xf numFmtId="1" fontId="18" fillId="0" borderId="0" xfId="0" applyNumberFormat="1" applyFont="1"/>
    <xf numFmtId="0" fontId="26" fillId="0" borderId="0" xfId="0" applyFont="1" applyAlignment="1">
      <alignment vertical="center"/>
    </xf>
    <xf numFmtId="0" fontId="19" fillId="5" borderId="0" xfId="0" applyFont="1" applyFill="1"/>
    <xf numFmtId="0" fontId="19" fillId="5" borderId="1" xfId="0" applyFont="1" applyFill="1" applyBorder="1"/>
    <xf numFmtId="0" fontId="27" fillId="5" borderId="1" xfId="0" applyFont="1" applyFill="1" applyBorder="1"/>
    <xf numFmtId="0" fontId="27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vertical="center" wrapText="1"/>
    </xf>
    <xf numFmtId="0" fontId="0" fillId="5" borderId="1" xfId="0" applyFill="1" applyBorder="1" applyAlignment="1" applyProtection="1">
      <alignment horizontal="center" vertical="center"/>
      <protection locked="0"/>
    </xf>
    <xf numFmtId="0" fontId="19" fillId="5" borderId="0" xfId="0" applyFont="1" applyFill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22" fillId="5" borderId="0" xfId="0" applyFont="1" applyFill="1" applyAlignment="1">
      <alignment wrapText="1"/>
    </xf>
    <xf numFmtId="0" fontId="0" fillId="5" borderId="0" xfId="0" applyFill="1"/>
    <xf numFmtId="0" fontId="21" fillId="5" borderId="0" xfId="0" applyFont="1" applyFill="1"/>
    <xf numFmtId="1" fontId="21" fillId="0" borderId="0" xfId="0" applyNumberFormat="1" applyFont="1" applyAlignment="1">
      <alignment horizontal="center" vertical="center"/>
    </xf>
    <xf numFmtId="0" fontId="28" fillId="0" borderId="3" xfId="0" applyFont="1" applyBorder="1" applyAlignment="1">
      <alignment horizontal="center" vertical="top"/>
    </xf>
    <xf numFmtId="0" fontId="28" fillId="0" borderId="3" xfId="0" applyFont="1" applyBorder="1" applyAlignment="1">
      <alignment vertical="top" wrapText="1"/>
    </xf>
    <xf numFmtId="0" fontId="22" fillId="0" borderId="2" xfId="0" applyFont="1" applyBorder="1" applyAlignment="1">
      <alignment horizontal="center" vertical="top"/>
    </xf>
    <xf numFmtId="0" fontId="28" fillId="0" borderId="2" xfId="0" applyFont="1" applyBorder="1" applyAlignment="1">
      <alignment horizontal="center" vertical="top"/>
    </xf>
    <xf numFmtId="1" fontId="19" fillId="5" borderId="2" xfId="0" applyNumberFormat="1" applyFont="1" applyFill="1" applyBorder="1" applyAlignment="1">
      <alignment horizontal="center" vertical="top"/>
    </xf>
    <xf numFmtId="0" fontId="19" fillId="5" borderId="2" xfId="0" applyFont="1" applyFill="1" applyBorder="1" applyAlignment="1">
      <alignment horizontal="center" vertical="top"/>
    </xf>
    <xf numFmtId="0" fontId="19" fillId="5" borderId="2" xfId="0" applyFont="1" applyFill="1" applyBorder="1" applyAlignment="1">
      <alignment vertical="top"/>
    </xf>
    <xf numFmtId="1" fontId="19" fillId="5" borderId="1" xfId="0" applyNumberFormat="1" applyFont="1" applyFill="1" applyBorder="1" applyAlignment="1">
      <alignment horizontal="center" vertical="top"/>
    </xf>
    <xf numFmtId="0" fontId="19" fillId="5" borderId="1" xfId="0" applyFont="1" applyFill="1" applyBorder="1" applyAlignment="1">
      <alignment vertical="top"/>
    </xf>
    <xf numFmtId="0" fontId="19" fillId="5" borderId="1" xfId="0" applyFont="1" applyFill="1" applyBorder="1" applyAlignment="1">
      <alignment horizontal="center" vertical="top"/>
    </xf>
    <xf numFmtId="164" fontId="19" fillId="5" borderId="1" xfId="0" applyNumberFormat="1" applyFont="1" applyFill="1" applyBorder="1" applyAlignment="1">
      <alignment horizontal="center" vertical="top"/>
    </xf>
    <xf numFmtId="164" fontId="19" fillId="5" borderId="2" xfId="0" applyNumberFormat="1" applyFont="1" applyFill="1" applyBorder="1" applyAlignment="1">
      <alignment horizontal="center" vertical="top"/>
    </xf>
    <xf numFmtId="0" fontId="20" fillId="5" borderId="2" xfId="0" applyFont="1" applyFill="1" applyBorder="1" applyAlignment="1">
      <alignment horizontal="center" vertical="top"/>
    </xf>
    <xf numFmtId="0" fontId="21" fillId="5" borderId="0" xfId="0" applyFont="1" applyFill="1" applyAlignment="1">
      <alignment wrapText="1"/>
    </xf>
    <xf numFmtId="1" fontId="21" fillId="5" borderId="0" xfId="0" applyNumberFormat="1" applyFont="1" applyFill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5" borderId="0" xfId="0" applyFont="1" applyFill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30" fillId="5" borderId="0" xfId="0" applyFont="1" applyFill="1" applyAlignment="1">
      <alignment horizontal="left"/>
    </xf>
    <xf numFmtId="0" fontId="30" fillId="5" borderId="1" xfId="0" applyFont="1" applyFill="1" applyBorder="1" applyAlignment="1">
      <alignment horizontal="left"/>
    </xf>
    <xf numFmtId="0" fontId="31" fillId="5" borderId="0" xfId="0" applyFont="1" applyFill="1" applyAlignment="1">
      <alignment horizontal="left" vertical="center" wrapText="1"/>
    </xf>
    <xf numFmtId="0" fontId="31" fillId="5" borderId="1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top"/>
    </xf>
    <xf numFmtId="0" fontId="30" fillId="0" borderId="2" xfId="0" applyFont="1" applyBorder="1" applyAlignment="1">
      <alignment horizontal="left" vertical="top"/>
    </xf>
    <xf numFmtId="0" fontId="31" fillId="5" borderId="2" xfId="0" applyFont="1" applyFill="1" applyBorder="1" applyAlignment="1">
      <alignment horizontal="left" vertical="top"/>
    </xf>
    <xf numFmtId="0" fontId="31" fillId="5" borderId="1" xfId="0" applyFont="1" applyFill="1" applyBorder="1" applyAlignment="1">
      <alignment horizontal="left" vertical="top"/>
    </xf>
    <xf numFmtId="0" fontId="30" fillId="0" borderId="1" xfId="0" applyFont="1" applyBorder="1" applyAlignment="1">
      <alignment horizontal="left" vertical="top"/>
    </xf>
    <xf numFmtId="0" fontId="30" fillId="5" borderId="2" xfId="0" applyFont="1" applyFill="1" applyBorder="1" applyAlignment="1">
      <alignment horizontal="left" vertical="top"/>
    </xf>
    <xf numFmtId="0" fontId="33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center"/>
    </xf>
    <xf numFmtId="0" fontId="19" fillId="5" borderId="0" xfId="0" applyFont="1" applyFill="1" applyAlignment="1">
      <alignment horizontal="left"/>
    </xf>
    <xf numFmtId="0" fontId="0" fillId="5" borderId="0" xfId="0" applyFill="1" applyAlignment="1">
      <alignment horizontal="center"/>
    </xf>
    <xf numFmtId="0" fontId="8" fillId="5" borderId="0" xfId="0" applyFont="1" applyFill="1"/>
    <xf numFmtId="0" fontId="35" fillId="5" borderId="0" xfId="0" applyFont="1" applyFill="1"/>
    <xf numFmtId="0" fontId="34" fillId="5" borderId="0" xfId="0" applyFont="1" applyFill="1"/>
    <xf numFmtId="0" fontId="10" fillId="5" borderId="0" xfId="0" applyFont="1" applyFill="1"/>
    <xf numFmtId="0" fontId="11" fillId="5" borderId="0" xfId="0" applyFont="1" applyFill="1"/>
    <xf numFmtId="0" fontId="34" fillId="5" borderId="0" xfId="0" applyFont="1" applyFill="1" applyAlignment="1">
      <alignment vertical="center"/>
    </xf>
    <xf numFmtId="0" fontId="34" fillId="5" borderId="0" xfId="0" applyFont="1" applyFill="1" applyAlignment="1">
      <alignment horizontal="left" wrapText="1"/>
    </xf>
    <xf numFmtId="0" fontId="34" fillId="5" borderId="0" xfId="0" applyFont="1" applyFill="1" applyAlignment="1">
      <alignment horizontal="left" vertical="top" wrapText="1"/>
    </xf>
    <xf numFmtId="0" fontId="34" fillId="5" borderId="3" xfId="0" applyFont="1" applyFill="1" applyBorder="1"/>
    <xf numFmtId="0" fontId="29" fillId="3" borderId="0" xfId="0" applyFont="1" applyFill="1" applyAlignment="1">
      <alignment horizontal="center" vertical="center"/>
    </xf>
    <xf numFmtId="0" fontId="8" fillId="3" borderId="0" xfId="0" applyFont="1" applyFill="1"/>
    <xf numFmtId="0" fontId="11" fillId="3" borderId="0" xfId="0" applyFont="1" applyFill="1"/>
    <xf numFmtId="0" fontId="23" fillId="0" borderId="0" xfId="0" applyFont="1" applyAlignment="1">
      <alignment vertical="center"/>
    </xf>
    <xf numFmtId="1" fontId="23" fillId="0" borderId="0" xfId="0" applyNumberFormat="1" applyFont="1" applyAlignment="1">
      <alignment horizontal="center"/>
    </xf>
    <xf numFmtId="0" fontId="5" fillId="8" borderId="0" xfId="0" applyFont="1" applyFill="1" applyAlignment="1" applyProtection="1">
      <alignment horizontal="center" vertical="center"/>
      <protection locked="0"/>
    </xf>
    <xf numFmtId="0" fontId="0" fillId="8" borderId="0" xfId="0" applyFill="1"/>
    <xf numFmtId="0" fontId="17" fillId="8" borderId="0" xfId="0" applyFont="1" applyFill="1" applyAlignment="1" applyProtection="1">
      <alignment horizontal="center" vertical="center"/>
      <protection locked="0"/>
    </xf>
    <xf numFmtId="0" fontId="5" fillId="9" borderId="0" xfId="0" applyFont="1" applyFill="1" applyAlignment="1" applyProtection="1">
      <alignment horizontal="center" vertical="center"/>
      <protection locked="0"/>
    </xf>
    <xf numFmtId="1" fontId="4" fillId="9" borderId="0" xfId="0" applyNumberFormat="1" applyFont="1" applyFill="1" applyAlignment="1" applyProtection="1">
      <alignment horizontal="center" vertical="center"/>
      <protection locked="0"/>
    </xf>
    <xf numFmtId="0" fontId="0" fillId="9" borderId="0" xfId="0" applyFill="1"/>
    <xf numFmtId="0" fontId="0" fillId="0" borderId="0" xfId="0" applyAlignment="1">
      <alignment vertical="center"/>
    </xf>
    <xf numFmtId="1" fontId="8" fillId="5" borderId="0" xfId="0" applyNumberFormat="1" applyFont="1" applyFill="1"/>
    <xf numFmtId="0" fontId="8" fillId="5" borderId="4" xfId="0" applyFont="1" applyFill="1" applyBorder="1"/>
    <xf numFmtId="0" fontId="7" fillId="5" borderId="0" xfId="0" applyFont="1" applyFill="1"/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4" borderId="5" xfId="0" applyFont="1" applyFill="1" applyBorder="1" applyAlignment="1">
      <alignment horizontal="left" vertical="top" wrapText="1"/>
    </xf>
    <xf numFmtId="0" fontId="19" fillId="3" borderId="8" xfId="0" applyFont="1" applyFill="1" applyBorder="1" applyAlignment="1">
      <alignment horizontal="left" vertical="top" wrapText="1"/>
    </xf>
    <xf numFmtId="0" fontId="37" fillId="2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19" fillId="3" borderId="8" xfId="0" applyFont="1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37" fillId="2" borderId="5" xfId="0" applyFont="1" applyFill="1" applyBorder="1" applyAlignment="1">
      <alignment horizontal="left" vertical="top" wrapText="1"/>
    </xf>
    <xf numFmtId="0" fontId="41" fillId="3" borderId="5" xfId="0" applyFont="1" applyFill="1" applyBorder="1" applyAlignment="1" applyProtection="1">
      <alignment horizontal="left" vertical="top" wrapText="1"/>
      <protection locked="0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 applyProtection="1">
      <alignment horizontal="left" vertical="top" wrapText="1"/>
      <protection locked="0"/>
    </xf>
    <xf numFmtId="0" fontId="38" fillId="3" borderId="8" xfId="0" applyFont="1" applyFill="1" applyBorder="1" applyAlignment="1">
      <alignment vertical="top" wrapText="1"/>
    </xf>
    <xf numFmtId="0" fontId="40" fillId="3" borderId="13" xfId="0" applyFont="1" applyFill="1" applyBorder="1" applyAlignment="1" applyProtection="1">
      <alignment horizontal="left" vertical="top" wrapText="1"/>
      <protection locked="0"/>
    </xf>
    <xf numFmtId="0" fontId="42" fillId="0" borderId="0" xfId="0" applyFont="1"/>
    <xf numFmtId="0" fontId="34" fillId="5" borderId="1" xfId="0" applyFont="1" applyFill="1" applyBorder="1" applyAlignment="1">
      <alignment horizontal="left" wrapText="1"/>
    </xf>
    <xf numFmtId="0" fontId="34" fillId="3" borderId="0" xfId="0" applyFont="1" applyFill="1" applyProtection="1">
      <protection locked="0"/>
    </xf>
    <xf numFmtId="0" fontId="8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11" borderId="5" xfId="0" applyFont="1" applyFill="1" applyBorder="1" applyAlignment="1">
      <alignment horizontal="center"/>
    </xf>
    <xf numFmtId="0" fontId="5" fillId="0" borderId="0" xfId="0" applyFont="1"/>
    <xf numFmtId="0" fontId="18" fillId="3" borderId="0" xfId="0" applyFont="1" applyFill="1"/>
    <xf numFmtId="0" fontId="18" fillId="3" borderId="0" xfId="0" applyFont="1" applyFill="1" applyAlignment="1">
      <alignment vertical="top"/>
    </xf>
    <xf numFmtId="14" fontId="0" fillId="0" borderId="0" xfId="0" applyNumberFormat="1"/>
    <xf numFmtId="0" fontId="2" fillId="0" borderId="0" xfId="0" applyFont="1"/>
    <xf numFmtId="0" fontId="19" fillId="0" borderId="5" xfId="0" applyFont="1" applyBorder="1" applyAlignment="1">
      <alignment vertical="top" wrapText="1"/>
    </xf>
    <xf numFmtId="0" fontId="19" fillId="5" borderId="5" xfId="0" applyFont="1" applyFill="1" applyBorder="1" applyAlignment="1">
      <alignment horizontal="left" vertical="top" wrapText="1"/>
    </xf>
    <xf numFmtId="0" fontId="19" fillId="5" borderId="5" xfId="0" applyFont="1" applyFill="1" applyBorder="1" applyAlignment="1">
      <alignment vertical="top" wrapText="1"/>
    </xf>
    <xf numFmtId="0" fontId="19" fillId="0" borderId="13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3" borderId="11" xfId="0" applyFont="1" applyFill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3" borderId="12" xfId="0" applyFont="1" applyFill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3" borderId="7" xfId="0" applyFont="1" applyFill="1" applyBorder="1" applyAlignment="1">
      <alignment horizontal="left" vertical="top" wrapText="1"/>
    </xf>
    <xf numFmtId="0" fontId="45" fillId="5" borderId="5" xfId="0" applyFont="1" applyFill="1" applyBorder="1" applyAlignment="1">
      <alignment horizontal="left" vertical="top" wrapText="1"/>
    </xf>
    <xf numFmtId="0" fontId="19" fillId="3" borderId="5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5" borderId="5" xfId="0" applyFill="1" applyBorder="1" applyAlignment="1">
      <alignment vertical="top" wrapText="1"/>
    </xf>
    <xf numFmtId="0" fontId="0" fillId="3" borderId="5" xfId="0" applyFill="1" applyBorder="1" applyAlignment="1">
      <alignment vertical="top" wrapText="1"/>
    </xf>
    <xf numFmtId="0" fontId="29" fillId="3" borderId="0" xfId="0" applyFont="1" applyFill="1" applyAlignment="1">
      <alignment wrapText="1"/>
    </xf>
    <xf numFmtId="0" fontId="1" fillId="5" borderId="0" xfId="0" applyFont="1" applyFill="1"/>
    <xf numFmtId="0" fontId="1" fillId="0" borderId="9" xfId="0" applyFont="1" applyBorder="1"/>
    <xf numFmtId="0" fontId="1" fillId="5" borderId="1" xfId="0" applyFont="1" applyFill="1" applyBorder="1"/>
    <xf numFmtId="2" fontId="5" fillId="8" borderId="0" xfId="0" applyNumberFormat="1" applyFont="1" applyFill="1" applyAlignment="1" applyProtection="1">
      <alignment horizontal="center" vertical="center"/>
      <protection locked="0"/>
    </xf>
    <xf numFmtId="0" fontId="5" fillId="4" borderId="6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 indent="5"/>
    </xf>
    <xf numFmtId="0" fontId="0" fillId="0" borderId="0" xfId="0" applyAlignment="1">
      <alignment horizontal="left" vertical="top" indent="5"/>
    </xf>
    <xf numFmtId="0" fontId="19" fillId="0" borderId="0" xfId="0" applyFont="1" applyAlignment="1">
      <alignment horizontal="left" vertical="top" wrapText="1" indent="5"/>
    </xf>
    <xf numFmtId="0" fontId="29" fillId="2" borderId="0" xfId="0" applyFont="1" applyFill="1" applyAlignment="1">
      <alignment horizontal="center" wrapText="1"/>
    </xf>
    <xf numFmtId="0" fontId="29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2" fillId="5" borderId="0" xfId="0" applyFont="1" applyFill="1" applyAlignment="1">
      <alignment horizontal="left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9" fillId="5" borderId="0" xfId="0" quotePrefix="1" applyFont="1" applyFill="1" applyAlignment="1">
      <alignment horizontal="left" vertical="top" wrapText="1"/>
    </xf>
    <xf numFmtId="0" fontId="19" fillId="5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9" fillId="10" borderId="3" xfId="0" applyFont="1" applyFill="1" applyBorder="1" applyAlignment="1">
      <alignment horizontal="center" vertical="center"/>
    </xf>
    <xf numFmtId="0" fontId="39" fillId="10" borderId="1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left"/>
    </xf>
    <xf numFmtId="0" fontId="39" fillId="10" borderId="3" xfId="0" applyFont="1" applyFill="1" applyBorder="1" applyAlignment="1">
      <alignment horizontal="center" vertical="center" wrapText="1"/>
    </xf>
    <xf numFmtId="0" fontId="39" fillId="10" borderId="0" xfId="0" applyFont="1" applyFill="1" applyAlignment="1">
      <alignment horizontal="center" vertical="center" wrapText="1"/>
    </xf>
    <xf numFmtId="0" fontId="39" fillId="10" borderId="1" xfId="0" applyFont="1" applyFill="1" applyBorder="1" applyAlignment="1">
      <alignment horizontal="center" vertical="center" wrapText="1"/>
    </xf>
    <xf numFmtId="0" fontId="39" fillId="10" borderId="0" xfId="0" applyFont="1" applyFill="1" applyAlignment="1">
      <alignment horizontal="center" vertical="center"/>
    </xf>
    <xf numFmtId="0" fontId="34" fillId="3" borderId="0" xfId="0" applyFont="1" applyFill="1" applyAlignment="1" applyProtection="1">
      <alignment vertical="top" wrapText="1"/>
      <protection locked="0"/>
    </xf>
    <xf numFmtId="0" fontId="34" fillId="3" borderId="0" xfId="0" applyFont="1" applyFill="1" applyAlignment="1" applyProtection="1">
      <alignment horizontal="left"/>
      <protection locked="0"/>
    </xf>
    <xf numFmtId="0" fontId="36" fillId="4" borderId="5" xfId="0" applyFont="1" applyFill="1" applyBorder="1" applyAlignment="1">
      <alignment horizontal="center" vertical="top" wrapText="1"/>
    </xf>
    <xf numFmtId="0" fontId="37" fillId="2" borderId="5" xfId="0" applyFont="1" applyFill="1" applyBorder="1" applyAlignment="1">
      <alignment horizontal="center" vertical="top" wrapText="1"/>
    </xf>
    <xf numFmtId="0" fontId="37" fillId="2" borderId="14" xfId="0" applyFont="1" applyFill="1" applyBorder="1" applyAlignment="1">
      <alignment horizontal="center" vertical="top" wrapText="1"/>
    </xf>
    <xf numFmtId="1" fontId="8" fillId="0" borderId="5" xfId="0" applyNumberFormat="1" applyFont="1" applyBorder="1" applyAlignment="1">
      <alignment horizontal="center"/>
    </xf>
    <xf numFmtId="1" fontId="8" fillId="11" borderId="5" xfId="0" applyNumberFormat="1" applyFont="1" applyFill="1" applyBorder="1" applyAlignment="1">
      <alignment horizontal="center"/>
    </xf>
    <xf numFmtId="0" fontId="34" fillId="5" borderId="0" xfId="0" applyFont="1" applyFill="1" applyAlignment="1">
      <alignment horizontal="left" vertical="top" wrapText="1"/>
    </xf>
    <xf numFmtId="0" fontId="34" fillId="3" borderId="0" xfId="0" applyFont="1" applyFill="1" applyAlignment="1" applyProtection="1">
      <protection locked="0"/>
    </xf>
    <xf numFmtId="0" fontId="8" fillId="0" borderId="5" xfId="0" applyFont="1" applyBorder="1" applyAlignment="1">
      <alignment horizontal="center"/>
    </xf>
    <xf numFmtId="1" fontId="15" fillId="2" borderId="15" xfId="0" applyNumberFormat="1" applyFont="1" applyFill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8" fillId="11" borderId="5" xfId="0" applyFont="1" applyFill="1" applyBorder="1" applyAlignment="1">
      <alignment horizontal="center"/>
    </xf>
    <xf numFmtId="164" fontId="8" fillId="11" borderId="5" xfId="0" applyNumberFormat="1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35" fillId="5" borderId="0" xfId="0" applyFont="1" applyFill="1" applyAlignment="1">
      <alignment horizontal="left"/>
    </xf>
    <xf numFmtId="0" fontId="36" fillId="2" borderId="5" xfId="0" applyFont="1" applyFill="1" applyBorder="1" applyAlignment="1">
      <alignment horizontal="center" vertical="top" wrapText="1"/>
    </xf>
    <xf numFmtId="0" fontId="36" fillId="2" borderId="14" xfId="0" applyFont="1" applyFill="1" applyBorder="1" applyAlignment="1">
      <alignment horizontal="center" vertical="top" wrapText="1"/>
    </xf>
    <xf numFmtId="1" fontId="9" fillId="0" borderId="5" xfId="0" applyNumberFormat="1" applyFont="1" applyBorder="1" applyAlignment="1">
      <alignment horizontal="center"/>
    </xf>
    <xf numFmtId="0" fontId="44" fillId="5" borderId="0" xfId="0" applyFont="1" applyFill="1" applyAlignment="1">
      <alignment horizontal="left" vertical="top" wrapText="1"/>
    </xf>
    <xf numFmtId="0" fontId="34" fillId="5" borderId="0" xfId="0" applyFont="1" applyFill="1" applyAlignment="1">
      <alignment horizontal="left" wrapText="1"/>
    </xf>
    <xf numFmtId="0" fontId="8" fillId="3" borderId="0" xfId="0" applyFont="1" applyFill="1" applyAlignment="1" applyProtection="1">
      <alignment horizontal="left" vertical="top" wrapText="1"/>
      <protection locked="0"/>
    </xf>
    <xf numFmtId="0" fontId="34" fillId="5" borderId="0" xfId="0" applyFont="1" applyFill="1" applyAlignment="1">
      <alignment horizontal="left"/>
    </xf>
    <xf numFmtId="14" fontId="34" fillId="5" borderId="0" xfId="0" applyNumberFormat="1" applyFont="1" applyFill="1" applyAlignment="1">
      <alignment horizontal="center"/>
    </xf>
    <xf numFmtId="0" fontId="43" fillId="2" borderId="1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1" fontId="43" fillId="2" borderId="15" xfId="0" applyNumberFormat="1" applyFont="1" applyFill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</cellXfs>
  <cellStyles count="3">
    <cellStyle name="60% - Accent1" xfId="2" builtinId="32" customBuiltin="1"/>
    <cellStyle name="Accent1" xfId="1" builtinId="29" customBuiltin="1"/>
    <cellStyle name="Normal" xfId="0" builtinId="0"/>
  </cellStyles>
  <dxfs count="23">
    <dxf>
      <font>
        <color theme="0"/>
      </font>
      <fill>
        <patternFill patternType="solid">
          <bgColor rgb="FF201547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 patternType="solid">
          <bgColor rgb="FFDFE1EA"/>
        </patternFill>
      </fill>
    </dxf>
    <dxf>
      <font>
        <color auto="1"/>
      </font>
      <fill>
        <patternFill patternType="solid">
          <bgColor rgb="FFDFE1EA"/>
        </patternFill>
      </fill>
    </dxf>
    <dxf>
      <font>
        <color auto="1"/>
      </font>
      <fill>
        <patternFill patternType="solid">
          <bgColor rgb="FFDFE1EA"/>
        </patternFill>
      </fill>
    </dxf>
    <dxf>
      <fill>
        <patternFill patternType="solid">
          <bgColor rgb="FFDFE1EA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ill>
        <patternFill>
          <bgColor rgb="FFE76F51"/>
        </patternFill>
      </fill>
    </dxf>
    <dxf>
      <fill>
        <patternFill>
          <bgColor rgb="FFE76F51"/>
        </patternFill>
      </fill>
    </dxf>
    <dxf>
      <font>
        <color rgb="FFFF000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rgb="FFFF000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201547"/>
      <color rgb="FFDFE1EA"/>
      <color rgb="FFE6E8F0"/>
      <color rgb="FFE76F51"/>
      <color rgb="FF695B7C"/>
      <color rgb="FFC7C1CF"/>
      <color rgb="FF92DCE5"/>
      <color rgb="FF2A9D8F"/>
      <color rgb="FF43365C"/>
      <color rgb="FFF9F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'Transition Calculator'!A1"/><Relationship Id="rId4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hyperlink" Target="#'Patient Handout'!A1"/><Relationship Id="rId1" Type="http://schemas.openxmlformats.org/officeDocument/2006/relationships/image" Target="../media/image4.jp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hyperlink" Target="#'Transition Calculator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1809750</xdr:colOff>
      <xdr:row>18</xdr:row>
      <xdr:rowOff>215900</xdr:rowOff>
    </xdr:from>
    <xdr:to>
      <xdr:col>4</xdr:col>
      <xdr:colOff>835025</xdr:colOff>
      <xdr:row>20</xdr:row>
      <xdr:rowOff>234950</xdr:rowOff>
    </xdr:to>
    <xdr:sp macro="" textlink="">
      <xdr:nvSpPr>
        <xdr:cNvPr id="9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6BB833-9C34-5C46-9DCC-1C9E766843DC}"/>
            </a:ext>
          </a:extLst>
        </xdr:cNvPr>
        <xdr:cNvSpPr/>
      </xdr:nvSpPr>
      <xdr:spPr>
        <a:xfrm>
          <a:off x="3752850" y="12026900"/>
          <a:ext cx="2606675" cy="501650"/>
        </a:xfrm>
        <a:prstGeom prst="roundRect">
          <a:avLst/>
        </a:prstGeom>
        <a:solidFill>
          <a:srgbClr val="201547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300" b="1"/>
            <a:t>Head to Calculator</a:t>
          </a:r>
        </a:p>
      </xdr:txBody>
    </xdr:sp>
    <xdr:clientData/>
  </xdr:twoCellAnchor>
  <xdr:twoCellAnchor editAs="absolute">
    <xdr:from>
      <xdr:col>4</xdr:col>
      <xdr:colOff>2600325</xdr:colOff>
      <xdr:row>0</xdr:row>
      <xdr:rowOff>44450</xdr:rowOff>
    </xdr:from>
    <xdr:to>
      <xdr:col>5</xdr:col>
      <xdr:colOff>1603</xdr:colOff>
      <xdr:row>0</xdr:row>
      <xdr:rowOff>903900</xdr:rowOff>
    </xdr:to>
    <xdr:pic>
      <xdr:nvPicPr>
        <xdr:cNvPr id="6" name="Picture 5" descr="VIA - Vitaflo in Association With You">
          <a:extLst>
            <a:ext uri="{FF2B5EF4-FFF2-40B4-BE49-F238E27FC236}">
              <a16:creationId xmlns:a16="http://schemas.microsoft.com/office/drawing/2014/main" id="{863108A6-B9DC-4946-9AE7-21FA1F441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44450"/>
          <a:ext cx="1287478" cy="859450"/>
        </a:xfrm>
        <a:prstGeom prst="rect">
          <a:avLst/>
        </a:prstGeom>
      </xdr:spPr>
    </xdr:pic>
    <xdr:clientData/>
  </xdr:twoCellAnchor>
  <xdr:twoCellAnchor editAs="absolute">
    <xdr:from>
      <xdr:col>3</xdr:col>
      <xdr:colOff>2346324</xdr:colOff>
      <xdr:row>0</xdr:row>
      <xdr:rowOff>40608</xdr:rowOff>
    </xdr:from>
    <xdr:to>
      <xdr:col>4</xdr:col>
      <xdr:colOff>3174</xdr:colOff>
      <xdr:row>0</xdr:row>
      <xdr:rowOff>893571</xdr:rowOff>
    </xdr:to>
    <xdr:pic>
      <xdr:nvPicPr>
        <xdr:cNvPr id="4" name="Picture 3" descr="Vitaflo - Innovation in Nutrition">
          <a:extLst>
            <a:ext uri="{FF2B5EF4-FFF2-40B4-BE49-F238E27FC236}">
              <a16:creationId xmlns:a16="http://schemas.microsoft.com/office/drawing/2014/main" id="{128B5F61-5C80-4FC1-8CC0-CDE9D178A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499" y="40608"/>
          <a:ext cx="942975" cy="852963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0</xdr:rowOff>
    </xdr:from>
    <xdr:to>
      <xdr:col>1</xdr:col>
      <xdr:colOff>1258939</xdr:colOff>
      <xdr:row>0</xdr:row>
      <xdr:rowOff>723900</xdr:rowOff>
    </xdr:to>
    <xdr:pic>
      <xdr:nvPicPr>
        <xdr:cNvPr id="7" name="Picture 6" descr="PKU trio">
          <a:extLst>
            <a:ext uri="{FF2B5EF4-FFF2-40B4-BE49-F238E27FC236}">
              <a16:creationId xmlns:a16="http://schemas.microsoft.com/office/drawing/2014/main" id="{F1E6C91E-E313-46A9-ACE9-0A60BC5ED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1258939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31749</xdr:colOff>
      <xdr:row>38</xdr:row>
      <xdr:rowOff>8700</xdr:rowOff>
    </xdr:from>
    <xdr:to>
      <xdr:col>10</xdr:col>
      <xdr:colOff>0</xdr:colOff>
      <xdr:row>46</xdr:row>
      <xdr:rowOff>88664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4A70E44-C697-8647-A789-4BA8D19B6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43649" y="9384475"/>
          <a:ext cx="3171826" cy="3464514"/>
        </a:xfrm>
        <a:prstGeom prst="rect">
          <a:avLst/>
        </a:prstGeom>
      </xdr:spPr>
    </xdr:pic>
    <xdr:clientData/>
  </xdr:twoCellAnchor>
  <xdr:twoCellAnchor>
    <xdr:from>
      <xdr:col>12</xdr:col>
      <xdr:colOff>82550</xdr:colOff>
      <xdr:row>39</xdr:row>
      <xdr:rowOff>69850</xdr:rowOff>
    </xdr:from>
    <xdr:to>
      <xdr:col>15</xdr:col>
      <xdr:colOff>12700</xdr:colOff>
      <xdr:row>41</xdr:row>
      <xdr:rowOff>184150</xdr:rowOff>
    </xdr:to>
    <xdr:sp macro="" textlink="">
      <xdr:nvSpPr>
        <xdr:cNvPr id="7" name="Rectangle: Rounded Corner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87B2A12-3BC1-3740-985A-23AD7ABD5F2D}"/>
            </a:ext>
          </a:extLst>
        </xdr:cNvPr>
        <xdr:cNvSpPr/>
      </xdr:nvSpPr>
      <xdr:spPr>
        <a:xfrm>
          <a:off x="11893550" y="9594850"/>
          <a:ext cx="2292350" cy="520700"/>
        </a:xfrm>
        <a:prstGeom prst="roundRect">
          <a:avLst/>
        </a:prstGeom>
        <a:solidFill>
          <a:srgbClr val="201547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300" b="1">
              <a:solidFill>
                <a:schemeClr val="bg1"/>
              </a:solidFill>
            </a:rPr>
            <a:t>View</a:t>
          </a:r>
          <a:r>
            <a:rPr lang="en-GB" sz="1300" b="1" baseline="0">
              <a:solidFill>
                <a:schemeClr val="bg1"/>
              </a:solidFill>
            </a:rPr>
            <a:t> Patient Handout</a:t>
          </a:r>
          <a:endParaRPr lang="en-GB" sz="1100"/>
        </a:p>
      </xdr:txBody>
    </xdr:sp>
    <xdr:clientData/>
  </xdr:twoCellAnchor>
  <xdr:twoCellAnchor editAs="oneCell">
    <xdr:from>
      <xdr:col>0</xdr:col>
      <xdr:colOff>12700</xdr:colOff>
      <xdr:row>0</xdr:row>
      <xdr:rowOff>25400</xdr:rowOff>
    </xdr:from>
    <xdr:to>
      <xdr:col>2</xdr:col>
      <xdr:colOff>294251</xdr:colOff>
      <xdr:row>0</xdr:row>
      <xdr:rowOff>904875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7BD6D8E-D6E6-0B4A-8C9E-32726DD9A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00" y="25400"/>
          <a:ext cx="1554726" cy="876300"/>
        </a:xfrm>
        <a:prstGeom prst="rect">
          <a:avLst/>
        </a:prstGeom>
      </xdr:spPr>
    </xdr:pic>
    <xdr:clientData/>
  </xdr:twoCellAnchor>
  <xdr:twoCellAnchor editAs="absolute">
    <xdr:from>
      <xdr:col>12</xdr:col>
      <xdr:colOff>331007</xdr:colOff>
      <xdr:row>42</xdr:row>
      <xdr:rowOff>292420</xdr:rowOff>
    </xdr:from>
    <xdr:to>
      <xdr:col>15</xdr:col>
      <xdr:colOff>63500</xdr:colOff>
      <xdr:row>44</xdr:row>
      <xdr:rowOff>292100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2A527E-A23B-C945-B76A-481CA322F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45057" y="10868345"/>
          <a:ext cx="1875618" cy="13331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44450</xdr:colOff>
      <xdr:row>8</xdr:row>
      <xdr:rowOff>38100</xdr:rowOff>
    </xdr:from>
    <xdr:to>
      <xdr:col>20</xdr:col>
      <xdr:colOff>149225</xdr:colOff>
      <xdr:row>10</xdr:row>
      <xdr:rowOff>69850</xdr:rowOff>
    </xdr:to>
    <xdr:sp macro="" textlink="">
      <xdr:nvSpPr>
        <xdr:cNvPr id="3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FD40D9-D94B-E34D-B8C8-7258831CE477}"/>
            </a:ext>
          </a:extLst>
        </xdr:cNvPr>
        <xdr:cNvSpPr/>
      </xdr:nvSpPr>
      <xdr:spPr>
        <a:xfrm>
          <a:off x="8299450" y="2209800"/>
          <a:ext cx="2200275" cy="501650"/>
        </a:xfrm>
        <a:prstGeom prst="roundRect">
          <a:avLst/>
        </a:prstGeom>
        <a:solidFill>
          <a:srgbClr val="201547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300" b="1"/>
            <a:t>Return to Calculator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1030339</xdr:colOff>
      <xdr:row>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864E61D-1EEA-FF4B-97D9-1B6AD6354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84339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3D9C4-E287-514D-9E52-3DDB8CF02F37}">
  <sheetPr>
    <pageSetUpPr fitToPage="1"/>
  </sheetPr>
  <dimension ref="A1:V34"/>
  <sheetViews>
    <sheetView showGridLines="0" tabSelected="1" zoomScaleNormal="100" workbookViewId="0">
      <selection activeCell="B3" sqref="B3:E3"/>
    </sheetView>
  </sheetViews>
  <sheetFormatPr defaultColWidth="9.1796875" defaultRowHeight="18.5" x14ac:dyDescent="0.45"/>
  <cols>
    <col min="1" max="1" width="3.26953125" style="5" customWidth="1"/>
    <col min="2" max="2" width="22.1796875" style="5" customWidth="1"/>
    <col min="3" max="3" width="15.7265625" style="5" hidden="1" customWidth="1"/>
    <col min="4" max="4" width="47" style="5" customWidth="1"/>
    <col min="5" max="5" width="56.26953125" style="5" customWidth="1"/>
    <col min="6" max="6" width="4.81640625" style="104" customWidth="1"/>
    <col min="7" max="16384" width="9.1796875" style="5"/>
  </cols>
  <sheetData>
    <row r="1" spans="1:22" ht="145" customHeight="1" x14ac:dyDescent="0.6">
      <c r="A1" s="161"/>
      <c r="B1" s="172" t="s">
        <v>0</v>
      </c>
      <c r="C1" s="173"/>
      <c r="D1" s="173"/>
      <c r="E1" s="173"/>
      <c r="F1" s="103"/>
    </row>
    <row r="2" spans="1:22" x14ac:dyDescent="0.45">
      <c r="F2" s="5"/>
    </row>
    <row r="3" spans="1:22" ht="137.15" customHeight="1" x14ac:dyDescent="0.45">
      <c r="B3" s="171" t="s">
        <v>1</v>
      </c>
      <c r="C3" s="171"/>
      <c r="D3" s="171"/>
      <c r="E3" s="171"/>
      <c r="F3" s="5"/>
    </row>
    <row r="4" spans="1:22" s="118" customFormat="1" ht="24" customHeight="1" x14ac:dyDescent="0.35">
      <c r="B4" s="123" t="s">
        <v>2</v>
      </c>
      <c r="C4" s="123"/>
      <c r="D4" s="123" t="s">
        <v>3</v>
      </c>
      <c r="E4" s="127" t="s">
        <v>4</v>
      </c>
      <c r="L4" s="119"/>
      <c r="M4" s="120"/>
      <c r="N4" s="120"/>
      <c r="O4" s="120"/>
      <c r="P4" s="120"/>
      <c r="Q4" s="120"/>
      <c r="R4" s="120"/>
      <c r="S4" s="119"/>
      <c r="T4" s="119"/>
      <c r="U4" s="119"/>
      <c r="V4" s="119"/>
    </row>
    <row r="5" spans="1:22" ht="83.15" customHeight="1" x14ac:dyDescent="0.45">
      <c r="B5" s="121" t="s">
        <v>5</v>
      </c>
      <c r="C5" s="122"/>
      <c r="D5" s="146" t="s">
        <v>6</v>
      </c>
      <c r="E5" s="128" t="s">
        <v>7</v>
      </c>
      <c r="F5" s="5"/>
      <c r="P5" s="6"/>
      <c r="Q5" s="6"/>
      <c r="R5" s="6"/>
      <c r="S5" s="10"/>
      <c r="T5" s="10"/>
      <c r="U5" s="10"/>
      <c r="V5" s="10"/>
    </row>
    <row r="6" spans="1:22" ht="32.15" customHeight="1" x14ac:dyDescent="0.45">
      <c r="B6" s="124" t="s">
        <v>8</v>
      </c>
      <c r="C6" s="125"/>
      <c r="D6" s="147" t="s">
        <v>9</v>
      </c>
      <c r="E6" s="148" t="s">
        <v>10</v>
      </c>
      <c r="F6" s="5"/>
      <c r="K6" s="114"/>
      <c r="P6" s="6"/>
      <c r="Q6" s="6"/>
      <c r="R6" s="6"/>
      <c r="S6" s="10"/>
      <c r="T6" s="10"/>
      <c r="U6" s="10"/>
      <c r="V6" s="10"/>
    </row>
    <row r="7" spans="1:22" ht="46" customHeight="1" x14ac:dyDescent="0.45">
      <c r="B7" s="166" t="s">
        <v>11</v>
      </c>
      <c r="C7" s="122"/>
      <c r="D7" s="149" t="s">
        <v>12</v>
      </c>
      <c r="E7" s="133" t="s">
        <v>13</v>
      </c>
      <c r="F7" s="5"/>
      <c r="K7" s="114"/>
      <c r="L7" s="10"/>
      <c r="M7" s="11"/>
      <c r="N7" s="6"/>
      <c r="O7" s="6"/>
      <c r="P7" s="6"/>
      <c r="Q7" s="6"/>
      <c r="R7" s="6"/>
      <c r="S7" s="10"/>
      <c r="T7" s="10"/>
      <c r="U7" s="10"/>
      <c r="V7" s="10"/>
    </row>
    <row r="8" spans="1:22" ht="16" customHeight="1" x14ac:dyDescent="0.45">
      <c r="B8" s="167"/>
      <c r="C8" s="122"/>
      <c r="D8" s="150" t="s">
        <v>14</v>
      </c>
      <c r="E8" s="151" t="s">
        <v>15</v>
      </c>
      <c r="F8" s="5"/>
      <c r="K8" s="114"/>
      <c r="L8" s="10"/>
      <c r="M8" s="11"/>
      <c r="N8" s="6"/>
      <c r="O8" s="6"/>
      <c r="P8" s="6"/>
      <c r="Q8" s="6"/>
      <c r="R8" s="6"/>
      <c r="S8" s="10"/>
      <c r="T8" s="10"/>
      <c r="U8" s="10"/>
      <c r="V8" s="10"/>
    </row>
    <row r="9" spans="1:22" ht="31" customHeight="1" x14ac:dyDescent="0.45">
      <c r="B9" s="167"/>
      <c r="C9" s="122"/>
      <c r="D9" s="152" t="s">
        <v>16</v>
      </c>
      <c r="E9" s="153" t="s">
        <v>17</v>
      </c>
      <c r="F9" s="5"/>
      <c r="K9" s="114"/>
      <c r="L9" s="10"/>
      <c r="M9" s="11"/>
      <c r="N9" s="6"/>
      <c r="O9" s="6"/>
      <c r="P9" s="6"/>
      <c r="Q9" s="6"/>
      <c r="R9" s="6"/>
      <c r="S9" s="10"/>
      <c r="T9" s="10"/>
      <c r="U9" s="10"/>
      <c r="V9" s="10"/>
    </row>
    <row r="10" spans="1:22" ht="18" customHeight="1" x14ac:dyDescent="0.45">
      <c r="B10" s="168"/>
      <c r="C10" s="122"/>
      <c r="D10" s="154" t="s">
        <v>18</v>
      </c>
      <c r="E10" s="155" t="s">
        <v>19</v>
      </c>
      <c r="F10" s="5"/>
      <c r="K10" s="114"/>
      <c r="L10" s="10"/>
      <c r="M10" s="11"/>
      <c r="N10" s="6"/>
      <c r="O10" s="6"/>
      <c r="P10" s="6"/>
      <c r="Q10" s="6"/>
      <c r="R10" s="6"/>
      <c r="S10" s="10"/>
      <c r="T10" s="10"/>
      <c r="U10" s="10"/>
      <c r="V10" s="10"/>
    </row>
    <row r="11" spans="1:22" ht="64" customHeight="1" x14ac:dyDescent="0.45">
      <c r="B11" s="121" t="s">
        <v>20</v>
      </c>
      <c r="C11" s="122"/>
      <c r="D11" s="147" t="s">
        <v>21</v>
      </c>
      <c r="E11" s="156" t="s">
        <v>22</v>
      </c>
      <c r="F11" s="5"/>
      <c r="K11" s="114"/>
      <c r="L11" s="114"/>
      <c r="M11" s="11"/>
      <c r="N11" s="6"/>
      <c r="O11" s="6"/>
      <c r="P11" s="6"/>
      <c r="Q11" s="6"/>
      <c r="R11" s="6"/>
      <c r="S11" s="10"/>
      <c r="T11" s="10"/>
      <c r="U11" s="10"/>
      <c r="V11" s="10"/>
    </row>
    <row r="12" spans="1:22" ht="94" customHeight="1" x14ac:dyDescent="0.45">
      <c r="B12" s="124" t="s">
        <v>23</v>
      </c>
      <c r="C12" s="125"/>
      <c r="D12" s="157" t="s">
        <v>24</v>
      </c>
      <c r="E12" s="158" t="s">
        <v>25</v>
      </c>
      <c r="F12" s="7"/>
      <c r="G12" s="7"/>
      <c r="H12" s="10"/>
      <c r="I12" s="10"/>
      <c r="J12" s="10"/>
      <c r="K12" s="114"/>
      <c r="L12" s="10"/>
      <c r="M12" s="6"/>
      <c r="N12" s="6"/>
      <c r="O12" s="6"/>
      <c r="P12" s="6"/>
      <c r="Q12" s="6"/>
      <c r="R12" s="6"/>
      <c r="S12" s="10"/>
      <c r="T12" s="10"/>
      <c r="U12" s="10"/>
      <c r="V12" s="10"/>
    </row>
    <row r="13" spans="1:22" ht="97" customHeight="1" x14ac:dyDescent="0.45">
      <c r="B13" s="124" t="s">
        <v>26</v>
      </c>
      <c r="C13" s="126"/>
      <c r="D13" s="159" t="s">
        <v>27</v>
      </c>
      <c r="E13" s="159" t="s">
        <v>28</v>
      </c>
      <c r="F13" s="7"/>
      <c r="G13" s="7"/>
      <c r="H13" s="10"/>
      <c r="I13" s="10"/>
      <c r="J13" s="10"/>
      <c r="K13" s="114"/>
      <c r="L13" s="10"/>
      <c r="M13" s="6"/>
      <c r="N13" s="6"/>
      <c r="O13" s="6"/>
      <c r="P13" s="6"/>
      <c r="Q13" s="6"/>
      <c r="R13" s="6"/>
      <c r="S13" s="10"/>
      <c r="T13" s="10"/>
      <c r="U13" s="10"/>
      <c r="V13" s="10"/>
    </row>
    <row r="14" spans="1:22" ht="87" x14ac:dyDescent="0.45">
      <c r="B14" s="124" t="s">
        <v>29</v>
      </c>
      <c r="C14" s="132"/>
      <c r="D14" s="158" t="s">
        <v>30</v>
      </c>
      <c r="E14" s="160" t="s">
        <v>31</v>
      </c>
      <c r="F14" s="7"/>
      <c r="G14" s="7"/>
      <c r="H14" s="6"/>
      <c r="I14" s="6"/>
      <c r="J14" s="6"/>
      <c r="K14" s="114"/>
      <c r="L14" s="10"/>
      <c r="M14" s="6"/>
      <c r="N14" s="6"/>
      <c r="O14" s="6"/>
      <c r="P14" s="6"/>
      <c r="Q14" s="6"/>
      <c r="R14" s="6"/>
      <c r="S14" s="10"/>
      <c r="T14" s="10"/>
      <c r="U14" s="10"/>
      <c r="V14" s="10"/>
    </row>
    <row r="15" spans="1:22" ht="48" customHeight="1" x14ac:dyDescent="0.45">
      <c r="B15" s="124" t="s">
        <v>32</v>
      </c>
      <c r="C15" s="126"/>
      <c r="D15" s="159" t="s">
        <v>33</v>
      </c>
      <c r="E15" s="159" t="s">
        <v>34</v>
      </c>
      <c r="F15" s="7"/>
      <c r="G15" s="6"/>
      <c r="H15" s="6"/>
      <c r="I15" s="11"/>
      <c r="J15" s="6"/>
      <c r="K15" s="114"/>
      <c r="L15" s="10"/>
      <c r="M15" s="10"/>
      <c r="N15" s="10"/>
      <c r="O15" s="10"/>
      <c r="P15" s="10"/>
      <c r="Q15" s="10"/>
      <c r="R15" s="10"/>
    </row>
    <row r="16" spans="1:22" x14ac:dyDescent="0.45">
      <c r="B16" s="129"/>
      <c r="C16" s="129"/>
      <c r="D16" s="129"/>
      <c r="E16" s="26"/>
      <c r="F16" s="5"/>
      <c r="H16" s="6"/>
      <c r="I16" s="6"/>
      <c r="J16" s="6"/>
      <c r="K16" s="6"/>
    </row>
    <row r="17" spans="2:11" x14ac:dyDescent="0.45">
      <c r="B17" s="169" t="s">
        <v>35</v>
      </c>
      <c r="C17" s="170"/>
      <c r="D17" s="170"/>
      <c r="E17" s="170"/>
      <c r="F17" s="5"/>
      <c r="H17" s="6"/>
      <c r="I17" s="6"/>
      <c r="J17" s="6"/>
      <c r="K17" s="6"/>
    </row>
    <row r="18" spans="2:11" ht="47.15" customHeight="1" x14ac:dyDescent="0.45">
      <c r="B18" s="170"/>
      <c r="C18" s="170"/>
      <c r="D18" s="170"/>
      <c r="E18" s="170"/>
      <c r="F18" s="5"/>
      <c r="H18" s="6"/>
      <c r="I18" s="6"/>
      <c r="J18" s="6"/>
      <c r="K18" s="6"/>
    </row>
    <row r="19" spans="2:11" x14ac:dyDescent="0.45">
      <c r="B19" s="130"/>
      <c r="C19" s="130"/>
      <c r="D19" s="130"/>
      <c r="E19" s="130"/>
      <c r="F19" s="5"/>
      <c r="H19" s="6"/>
      <c r="I19" s="6"/>
      <c r="J19" s="6"/>
      <c r="K19" s="6"/>
    </row>
    <row r="20" spans="2:11" x14ac:dyDescent="0.45">
      <c r="B20" s="130"/>
      <c r="C20" s="130"/>
      <c r="D20" s="130"/>
      <c r="E20" s="130"/>
      <c r="F20" s="5"/>
      <c r="H20" s="6"/>
      <c r="I20" s="6"/>
      <c r="J20" s="6"/>
      <c r="K20" s="6"/>
    </row>
    <row r="21" spans="2:11" x14ac:dyDescent="0.45">
      <c r="B21" s="26"/>
      <c r="C21" s="26"/>
      <c r="D21" s="26"/>
      <c r="E21" s="131"/>
      <c r="F21" s="5"/>
    </row>
    <row r="22" spans="2:11" x14ac:dyDescent="0.45">
      <c r="B22" s="142" t="s">
        <v>119</v>
      </c>
      <c r="C22"/>
      <c r="D22"/>
      <c r="E22"/>
      <c r="F22" s="5"/>
    </row>
    <row r="23" spans="2:11" x14ac:dyDescent="0.45">
      <c r="B23" s="143" t="s">
        <v>120</v>
      </c>
      <c r="F23" s="5"/>
    </row>
    <row r="29" spans="2:11" ht="304" customHeight="1" x14ac:dyDescent="0.45"/>
    <row r="30" spans="2:11" ht="159" customHeight="1" x14ac:dyDescent="0.45"/>
    <row r="31" spans="2:11" ht="160" customHeight="1" x14ac:dyDescent="0.45"/>
    <row r="32" spans="2:11" ht="191.15" customHeight="1" x14ac:dyDescent="0.45"/>
    <row r="33" ht="304" customHeight="1" x14ac:dyDescent="0.45"/>
    <row r="34" ht="160" customHeight="1" x14ac:dyDescent="0.45"/>
  </sheetData>
  <sheetProtection sheet="1" objects="1" scenarios="1"/>
  <mergeCells count="4">
    <mergeCell ref="B7:B10"/>
    <mergeCell ref="B17:E18"/>
    <mergeCell ref="B3:E3"/>
    <mergeCell ref="B1:E1"/>
  </mergeCells>
  <conditionalFormatting sqref="E5">
    <cfRule type="expression" dxfId="22" priority="7">
      <formula>$E$5&gt;0</formula>
    </cfRule>
  </conditionalFormatting>
  <conditionalFormatting sqref="E7">
    <cfRule type="expression" dxfId="21" priority="1">
      <formula>$E$5&gt;0</formula>
    </cfRule>
  </conditionalFormatting>
  <conditionalFormatting sqref="E21">
    <cfRule type="expression" dxfId="20" priority="19">
      <formula>#REF!&gt;0</formula>
    </cfRule>
  </conditionalFormatting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2"/>
  <sheetViews>
    <sheetView showGridLines="0" workbookViewId="0">
      <selection activeCell="D3" sqref="D3"/>
    </sheetView>
  </sheetViews>
  <sheetFormatPr defaultColWidth="9.1796875" defaultRowHeight="14.5" x14ac:dyDescent="0.35"/>
  <cols>
    <col min="1" max="1" width="5.81640625" style="73" customWidth="1"/>
    <col min="2" max="2" width="10.81640625" style="77" customWidth="1"/>
    <col min="3" max="3" width="53.81640625" customWidth="1"/>
    <col min="4" max="4" width="10.7265625" customWidth="1"/>
    <col min="8" max="8" width="9.26953125" customWidth="1"/>
    <col min="11" max="12" width="9.26953125" bestFit="1" customWidth="1"/>
    <col min="13" max="15" width="10.26953125" bestFit="1" customWidth="1"/>
    <col min="18" max="18" width="33.453125" style="1" customWidth="1"/>
    <col min="19" max="19" width="9.1796875" style="1"/>
  </cols>
  <sheetData>
    <row r="1" spans="1:30" ht="73" customHeight="1" x14ac:dyDescent="0.35">
      <c r="A1" s="180" t="s">
        <v>36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Q1" s="141"/>
      <c r="R1" s="3"/>
      <c r="S1" s="3"/>
      <c r="T1" s="141"/>
      <c r="U1" s="141"/>
      <c r="V1" s="141"/>
      <c r="W1" s="141"/>
      <c r="X1" s="141"/>
      <c r="Y1" s="9"/>
      <c r="Z1" s="9"/>
      <c r="AA1" s="9"/>
    </row>
    <row r="2" spans="1:30" ht="12" customHeight="1" x14ac:dyDescent="0.7">
      <c r="A2" s="72"/>
      <c r="B2" s="76"/>
      <c r="C2" s="15"/>
      <c r="D2" s="15"/>
      <c r="E2" s="41"/>
      <c r="F2" s="14"/>
      <c r="G2" s="14"/>
      <c r="H2" s="14"/>
      <c r="I2" s="14"/>
      <c r="J2" s="14"/>
      <c r="K2" s="14"/>
      <c r="L2" s="14"/>
      <c r="M2" s="14"/>
      <c r="N2" s="14"/>
      <c r="O2" s="14"/>
      <c r="Q2" s="141"/>
      <c r="R2" s="3"/>
      <c r="S2" s="3"/>
      <c r="T2" s="141"/>
      <c r="U2" s="141"/>
      <c r="V2" s="141"/>
      <c r="W2" s="141"/>
      <c r="X2" s="141"/>
      <c r="Y2" s="9"/>
      <c r="Z2" s="9"/>
      <c r="AA2" s="9"/>
    </row>
    <row r="3" spans="1:30" ht="14.15" customHeight="1" x14ac:dyDescent="0.35">
      <c r="C3" s="29" t="s">
        <v>37</v>
      </c>
      <c r="D3" s="165"/>
      <c r="E3" s="42" t="s">
        <v>38</v>
      </c>
      <c r="M3" s="176" t="s">
        <v>39</v>
      </c>
      <c r="N3" s="176"/>
      <c r="O3" s="176"/>
      <c r="Q3" s="141"/>
      <c r="R3" s="3"/>
      <c r="S3" s="3"/>
      <c r="T3" s="141"/>
      <c r="U3" s="141"/>
      <c r="V3" s="141"/>
      <c r="W3" s="141"/>
      <c r="X3" s="141"/>
      <c r="Y3" s="9"/>
      <c r="Z3" s="9"/>
      <c r="AA3" s="9"/>
    </row>
    <row r="4" spans="1:30" ht="14.15" customHeight="1" x14ac:dyDescent="0.35">
      <c r="A4" s="72"/>
      <c r="B4" s="76"/>
      <c r="C4" s="27"/>
      <c r="D4" s="18"/>
      <c r="E4" s="19"/>
      <c r="M4" s="109"/>
      <c r="N4" s="177" t="s">
        <v>40</v>
      </c>
      <c r="O4" s="177"/>
      <c r="Q4" s="141"/>
      <c r="R4" s="174" t="s">
        <v>41</v>
      </c>
      <c r="S4" s="174"/>
      <c r="T4" s="141"/>
      <c r="U4" s="141"/>
      <c r="V4" s="141"/>
      <c r="W4" s="141"/>
      <c r="X4" s="141"/>
      <c r="Y4" s="9"/>
      <c r="Z4" s="9"/>
      <c r="AA4" s="9"/>
      <c r="AB4" s="8"/>
      <c r="AC4" s="8"/>
      <c r="AD4" s="8"/>
    </row>
    <row r="5" spans="1:30" ht="14.15" customHeight="1" x14ac:dyDescent="0.35">
      <c r="A5" s="74"/>
      <c r="B5" s="78"/>
      <c r="C5" s="45" t="s">
        <v>42</v>
      </c>
      <c r="D5" s="108"/>
      <c r="E5" s="42" t="s">
        <v>38</v>
      </c>
      <c r="M5" s="113"/>
      <c r="N5" s="177" t="s">
        <v>43</v>
      </c>
      <c r="O5" s="177"/>
      <c r="Q5" s="141"/>
      <c r="R5" s="4" t="s">
        <v>44</v>
      </c>
      <c r="S5" s="3">
        <f>IF(D25="",M17,D25)</f>
        <v>0</v>
      </c>
      <c r="T5" s="141"/>
      <c r="U5" s="141"/>
      <c r="V5" s="141"/>
      <c r="W5" s="141"/>
      <c r="X5" s="141"/>
      <c r="Y5" s="9"/>
      <c r="Z5" s="9"/>
      <c r="AA5" s="9"/>
      <c r="AB5" s="8"/>
      <c r="AC5" s="8"/>
      <c r="AD5" s="8"/>
    </row>
    <row r="6" spans="1:30" ht="14.15" customHeight="1" x14ac:dyDescent="0.35">
      <c r="A6" s="75"/>
      <c r="B6" s="79"/>
      <c r="C6" s="47" t="s">
        <v>45</v>
      </c>
      <c r="D6" s="48"/>
      <c r="E6" s="20"/>
      <c r="Q6" s="141"/>
      <c r="R6" s="4" t="s">
        <v>46</v>
      </c>
      <c r="S6" s="3" t="str">
        <f>IF(D21&gt;0,"(fl oz)",IF(D23&gt;0,"(ml)","(ml)"))</f>
        <v>(ml)</v>
      </c>
      <c r="T6" s="141"/>
      <c r="U6" s="141"/>
      <c r="V6" s="141"/>
      <c r="W6" s="141"/>
      <c r="X6" s="141"/>
      <c r="Y6" s="9"/>
      <c r="Z6" s="9"/>
      <c r="AA6" s="9"/>
      <c r="AB6" s="8"/>
      <c r="AC6" s="8"/>
      <c r="AD6" s="8"/>
    </row>
    <row r="7" spans="1:30" ht="14.15" customHeight="1" x14ac:dyDescent="0.35">
      <c r="C7" s="32" t="s">
        <v>47</v>
      </c>
      <c r="D7" s="108"/>
      <c r="E7" s="42" t="s">
        <v>38</v>
      </c>
      <c r="M7" s="25"/>
      <c r="N7" s="25"/>
      <c r="O7" s="25"/>
      <c r="Q7" s="141"/>
      <c r="R7" s="4" t="s">
        <v>48</v>
      </c>
      <c r="S7" s="3">
        <f>IF(S6="(fl oz)",IF(D21="",M13,D21),0)</f>
        <v>0</v>
      </c>
      <c r="T7" s="141"/>
      <c r="U7" s="141"/>
      <c r="V7" s="141"/>
      <c r="W7" s="141"/>
      <c r="X7" s="141"/>
      <c r="Y7" s="9"/>
      <c r="Z7" s="9"/>
      <c r="AA7" s="9"/>
      <c r="AB7" s="8"/>
      <c r="AC7" s="8"/>
      <c r="AD7" s="8"/>
    </row>
    <row r="8" spans="1:30" ht="14.15" customHeight="1" x14ac:dyDescent="0.35">
      <c r="A8" s="72"/>
      <c r="B8" s="76"/>
      <c r="C8" s="30"/>
      <c r="D8" s="16"/>
      <c r="E8" s="19"/>
      <c r="Q8" s="141"/>
      <c r="R8" s="4" t="s">
        <v>49</v>
      </c>
      <c r="S8" s="3">
        <f>IF(S6="(ml)",IF(D23="",M15,D23),0)</f>
        <v>0.88</v>
      </c>
      <c r="T8" s="141"/>
      <c r="U8" s="141"/>
      <c r="V8" s="141"/>
      <c r="W8" s="141"/>
      <c r="X8" s="141"/>
      <c r="Y8" s="9"/>
      <c r="Z8" s="9"/>
      <c r="AA8" s="9"/>
      <c r="AB8" s="8"/>
      <c r="AC8" s="8"/>
      <c r="AD8" s="8"/>
    </row>
    <row r="9" spans="1:30" ht="14.15" customHeight="1" x14ac:dyDescent="0.35">
      <c r="A9" s="74"/>
      <c r="B9" s="78"/>
      <c r="C9" s="51" t="s">
        <v>50</v>
      </c>
      <c r="D9" s="108"/>
      <c r="E9" s="42" t="s">
        <v>38</v>
      </c>
      <c r="Q9" s="141"/>
      <c r="R9" s="4" t="s">
        <v>51</v>
      </c>
      <c r="S9" s="3">
        <f>IF(S6="(fl oz)",S7,S8)</f>
        <v>0.88</v>
      </c>
      <c r="T9" s="141"/>
      <c r="U9" s="141"/>
      <c r="V9" s="141"/>
      <c r="W9" s="141"/>
      <c r="X9" s="141"/>
      <c r="Y9" s="9"/>
      <c r="Z9" s="9"/>
      <c r="AA9" s="9"/>
      <c r="AB9" s="8"/>
      <c r="AC9" s="8"/>
      <c r="AD9" s="8"/>
    </row>
    <row r="10" spans="1:30" ht="14.15" customHeight="1" x14ac:dyDescent="0.35">
      <c r="A10" s="75"/>
      <c r="B10" s="79"/>
      <c r="C10" s="49"/>
      <c r="D10" s="50"/>
      <c r="E10" s="19"/>
      <c r="Q10" s="141"/>
      <c r="R10" s="4"/>
      <c r="S10" s="3"/>
      <c r="T10" s="141"/>
      <c r="U10" s="141"/>
      <c r="V10" s="141"/>
      <c r="W10" s="141"/>
      <c r="X10" s="141"/>
      <c r="Y10" s="9"/>
      <c r="Z10" s="9"/>
      <c r="AA10" s="9"/>
      <c r="AB10" s="8"/>
      <c r="AC10" s="8"/>
      <c r="AD10" s="8"/>
    </row>
    <row r="11" spans="1:30" ht="14.15" customHeight="1" x14ac:dyDescent="0.35">
      <c r="C11" s="32" t="s">
        <v>52</v>
      </c>
      <c r="D11" s="110" t="s">
        <v>53</v>
      </c>
      <c r="E11" s="19"/>
      <c r="F11" s="2" t="s">
        <v>38</v>
      </c>
      <c r="H11" s="45"/>
      <c r="I11" s="45"/>
      <c r="J11" s="45"/>
      <c r="K11" s="45"/>
      <c r="L11" s="45"/>
      <c r="M11" s="45"/>
      <c r="N11" s="45"/>
      <c r="O11" s="54"/>
      <c r="Q11" s="141"/>
      <c r="R11" s="4" t="s">
        <v>54</v>
      </c>
      <c r="S11" s="3">
        <f>IF(S6="(fl oz)",30,100)</f>
        <v>100</v>
      </c>
      <c r="T11" s="141"/>
      <c r="U11" s="141"/>
      <c r="V11" s="141"/>
      <c r="W11" s="141"/>
      <c r="X11" s="141"/>
      <c r="Y11" s="9"/>
      <c r="Z11" s="9"/>
      <c r="AA11" s="9"/>
      <c r="AB11" s="8"/>
      <c r="AC11" s="8"/>
      <c r="AD11" s="8"/>
    </row>
    <row r="12" spans="1:30" ht="14.15" customHeight="1" x14ac:dyDescent="0.35">
      <c r="A12" s="72"/>
      <c r="B12" s="76"/>
      <c r="C12" s="27"/>
      <c r="D12" s="18"/>
      <c r="E12" s="19"/>
      <c r="H12" s="45"/>
      <c r="I12" s="175" t="s">
        <v>55</v>
      </c>
      <c r="J12" s="175"/>
      <c r="K12" s="175"/>
      <c r="L12" s="175"/>
      <c r="M12" s="175"/>
      <c r="N12" s="175"/>
      <c r="O12" s="54"/>
      <c r="Q12" s="141"/>
      <c r="R12" s="4" t="s">
        <v>56</v>
      </c>
      <c r="S12" s="3">
        <v>4.05</v>
      </c>
      <c r="T12" s="141"/>
      <c r="U12" s="141"/>
      <c r="V12" s="141"/>
      <c r="W12" s="141"/>
      <c r="X12" s="141"/>
      <c r="Y12" s="9"/>
      <c r="Z12" s="9"/>
      <c r="AA12" s="9"/>
      <c r="AB12" s="8"/>
      <c r="AC12" s="8"/>
      <c r="AD12" s="8"/>
    </row>
    <row r="13" spans="1:30" ht="14.15" customHeight="1" x14ac:dyDescent="0.35">
      <c r="A13" s="185" t="s">
        <v>57</v>
      </c>
      <c r="B13" s="80" t="s">
        <v>58</v>
      </c>
      <c r="C13" s="45" t="s">
        <v>59</v>
      </c>
      <c r="D13" s="111"/>
      <c r="E13" s="20" t="s">
        <v>60</v>
      </c>
      <c r="H13" s="45"/>
      <c r="I13" s="184" t="s">
        <v>61</v>
      </c>
      <c r="J13" s="184"/>
      <c r="K13" s="184"/>
      <c r="L13" s="184"/>
      <c r="M13" s="91">
        <v>26</v>
      </c>
      <c r="N13" s="45"/>
      <c r="O13" s="54"/>
      <c r="Q13" s="141"/>
      <c r="R13" s="3"/>
      <c r="S13" s="3"/>
      <c r="T13" s="141"/>
      <c r="U13" s="141"/>
      <c r="V13" s="141"/>
      <c r="W13" s="141"/>
      <c r="X13" s="141"/>
      <c r="Y13" s="9"/>
      <c r="Z13" s="9"/>
      <c r="AA13" s="9"/>
      <c r="AB13" s="8"/>
      <c r="AC13" s="8"/>
      <c r="AD13" s="8"/>
    </row>
    <row r="14" spans="1:30" ht="14.15" customHeight="1" x14ac:dyDescent="0.35">
      <c r="A14" s="186"/>
      <c r="B14" s="79"/>
      <c r="C14" s="49"/>
      <c r="D14" s="52"/>
      <c r="E14" s="19"/>
      <c r="H14" s="45"/>
      <c r="I14" s="45"/>
      <c r="J14" s="45"/>
      <c r="K14" s="45"/>
      <c r="L14" s="45"/>
      <c r="M14" s="45"/>
      <c r="N14" s="45"/>
      <c r="O14" s="54"/>
      <c r="Q14" s="141"/>
      <c r="R14" s="4"/>
      <c r="S14" s="3"/>
      <c r="T14" s="141"/>
      <c r="U14" s="141"/>
      <c r="V14" s="141"/>
      <c r="W14" s="141"/>
      <c r="X14" s="141"/>
      <c r="Y14" s="9"/>
      <c r="Z14" s="9"/>
      <c r="AA14" s="9"/>
      <c r="AB14" s="8"/>
      <c r="AC14" s="8"/>
      <c r="AD14" s="8"/>
    </row>
    <row r="15" spans="1:30" ht="14.15" customHeight="1" x14ac:dyDescent="0.35">
      <c r="A15" s="186"/>
      <c r="B15" s="80" t="s">
        <v>62</v>
      </c>
      <c r="C15" s="45" t="s">
        <v>63</v>
      </c>
      <c r="D15" s="111"/>
      <c r="E15" s="20" t="s">
        <v>60</v>
      </c>
      <c r="H15" s="45"/>
      <c r="I15" s="184" t="s">
        <v>64</v>
      </c>
      <c r="J15" s="184"/>
      <c r="K15" s="184"/>
      <c r="L15" s="184"/>
      <c r="M15" s="91">
        <v>0.88</v>
      </c>
      <c r="N15" s="45"/>
      <c r="O15" s="54"/>
      <c r="Q15" s="141"/>
      <c r="R15" s="3"/>
      <c r="S15" s="3"/>
      <c r="T15" s="141"/>
      <c r="U15" s="141"/>
      <c r="V15" s="141"/>
      <c r="W15" s="141"/>
      <c r="X15" s="141"/>
      <c r="Y15" s="9"/>
      <c r="Z15" s="9"/>
      <c r="AA15" s="9"/>
      <c r="AB15" s="8"/>
      <c r="AC15" s="8"/>
      <c r="AD15" s="8"/>
    </row>
    <row r="16" spans="1:30" ht="14.15" customHeight="1" x14ac:dyDescent="0.35">
      <c r="A16" s="187"/>
      <c r="B16" s="81"/>
      <c r="C16" s="46"/>
      <c r="D16" s="50"/>
      <c r="E16" s="20"/>
      <c r="H16" s="45"/>
      <c r="I16" s="92"/>
      <c r="J16" s="92"/>
      <c r="K16" s="92"/>
      <c r="L16" s="92"/>
      <c r="M16" s="91"/>
      <c r="N16" s="45"/>
      <c r="O16" s="54"/>
      <c r="Q16" s="141"/>
      <c r="R16" s="3"/>
      <c r="S16" s="3"/>
      <c r="T16" s="141"/>
      <c r="U16" s="141"/>
      <c r="V16" s="141"/>
      <c r="W16" s="141"/>
      <c r="X16" s="141"/>
      <c r="Y16" s="9"/>
      <c r="Z16" s="9"/>
      <c r="AA16" s="9"/>
      <c r="AB16" s="8"/>
      <c r="AC16" s="8"/>
      <c r="AD16" s="8"/>
    </row>
    <row r="17" spans="1:30" ht="14.15" customHeight="1" x14ac:dyDescent="0.35">
      <c r="C17" s="31" t="s">
        <v>65</v>
      </c>
      <c r="D17" s="56">
        <f>D3/100*D7</f>
        <v>0</v>
      </c>
      <c r="E17" s="19"/>
      <c r="H17" s="45"/>
      <c r="I17" s="184" t="s">
        <v>66</v>
      </c>
      <c r="J17" s="184"/>
      <c r="K17" s="184"/>
      <c r="L17" s="184"/>
      <c r="M17" s="91">
        <f>MROUND(D17/5,1)</f>
        <v>0</v>
      </c>
      <c r="N17" s="45"/>
      <c r="O17" s="54"/>
      <c r="Q17" s="141"/>
      <c r="R17" s="3"/>
      <c r="S17" s="3"/>
      <c r="T17" s="141"/>
      <c r="U17" s="141"/>
      <c r="V17" s="141"/>
      <c r="W17" s="141"/>
      <c r="X17" s="141"/>
      <c r="Y17" s="9"/>
      <c r="Z17" s="9"/>
      <c r="AA17" s="9"/>
      <c r="AB17" s="8"/>
      <c r="AC17" s="8"/>
      <c r="AD17" s="8"/>
    </row>
    <row r="18" spans="1:30" ht="14.15" customHeight="1" x14ac:dyDescent="0.35">
      <c r="A18" s="72"/>
      <c r="B18" s="76"/>
      <c r="C18" s="27"/>
      <c r="D18" s="28"/>
      <c r="E18" s="19"/>
      <c r="H18" s="45"/>
      <c r="I18" s="184" t="s">
        <v>67</v>
      </c>
      <c r="J18" s="184"/>
      <c r="K18" s="184"/>
      <c r="L18" s="184"/>
      <c r="M18" s="91" t="str">
        <f>S6</f>
        <v>(ml)</v>
      </c>
      <c r="N18" s="45"/>
      <c r="O18" s="54"/>
      <c r="Q18" s="141"/>
      <c r="R18" s="3"/>
      <c r="S18" s="3"/>
      <c r="T18" s="141"/>
      <c r="U18" s="141"/>
      <c r="V18" s="141"/>
      <c r="W18" s="141"/>
      <c r="X18" s="141"/>
      <c r="Y18" s="9"/>
      <c r="Z18" s="9"/>
      <c r="AA18" s="9"/>
      <c r="AB18" s="8"/>
      <c r="AC18" s="8"/>
      <c r="AD18" s="8"/>
    </row>
    <row r="19" spans="1:30" ht="14.15" customHeight="1" x14ac:dyDescent="0.35">
      <c r="A19" s="74"/>
      <c r="B19" s="78"/>
      <c r="C19" s="70" t="s">
        <v>68</v>
      </c>
      <c r="D19" s="71">
        <f>D5/100*D7</f>
        <v>0</v>
      </c>
      <c r="E19" s="43"/>
      <c r="H19" s="45"/>
      <c r="I19" s="45"/>
      <c r="J19" s="45"/>
      <c r="K19" s="45"/>
      <c r="L19" s="45"/>
      <c r="M19" s="45"/>
      <c r="N19" s="45"/>
      <c r="O19" s="54"/>
      <c r="Q19" s="141"/>
      <c r="R19" s="3"/>
      <c r="S19" s="3"/>
      <c r="T19" s="141"/>
      <c r="U19" s="141"/>
      <c r="V19" s="141"/>
      <c r="W19" s="141"/>
      <c r="X19" s="141"/>
      <c r="Y19" s="9"/>
      <c r="Z19" s="9"/>
      <c r="AA19" s="9"/>
      <c r="AB19" s="8"/>
      <c r="AC19" s="8"/>
      <c r="AD19" s="8"/>
    </row>
    <row r="20" spans="1:30" ht="14.15" customHeight="1" x14ac:dyDescent="0.35">
      <c r="A20" s="75"/>
      <c r="B20" s="79"/>
      <c r="C20" s="49"/>
      <c r="D20" s="49"/>
      <c r="E20" s="19"/>
      <c r="H20" s="55"/>
      <c r="I20" s="55"/>
      <c r="J20" s="55"/>
      <c r="K20" s="55"/>
      <c r="L20" s="55"/>
      <c r="M20" s="55"/>
      <c r="N20" s="55"/>
      <c r="O20" s="54"/>
      <c r="Q20" s="141"/>
      <c r="R20" s="4"/>
      <c r="S20" s="3"/>
      <c r="T20" s="141"/>
      <c r="U20" s="141"/>
      <c r="V20" s="141"/>
      <c r="W20" s="141"/>
      <c r="X20" s="141"/>
      <c r="Y20" s="9"/>
      <c r="Z20" s="9"/>
      <c r="AA20" s="9"/>
      <c r="AB20" s="8"/>
      <c r="AC20" s="8"/>
      <c r="AD20" s="8"/>
    </row>
    <row r="21" spans="1:30" ht="14.15" customHeight="1" x14ac:dyDescent="0.35">
      <c r="A21" s="182" t="s">
        <v>69</v>
      </c>
      <c r="B21" s="82" t="s">
        <v>70</v>
      </c>
      <c r="C21" s="26" t="s">
        <v>71</v>
      </c>
      <c r="D21" s="111"/>
      <c r="E21" s="44" t="str">
        <f>IF(COUNTA(D21:D23)=2,"Please enter calorie density in as kcal/fl oz OR kcal/100ml","")</f>
        <v/>
      </c>
      <c r="F21" s="12"/>
      <c r="G21" s="12"/>
      <c r="Q21" s="141"/>
      <c r="R21" s="3"/>
      <c r="S21" s="3"/>
      <c r="T21" s="141"/>
      <c r="U21" s="141"/>
      <c r="V21" s="141"/>
      <c r="W21" s="141"/>
      <c r="X21" s="141"/>
      <c r="Y21" s="9"/>
      <c r="Z21" s="9"/>
      <c r="AA21" s="9"/>
      <c r="AB21" s="8"/>
      <c r="AC21" s="8"/>
      <c r="AD21" s="8"/>
    </row>
    <row r="22" spans="1:30" ht="14.15" customHeight="1" x14ac:dyDescent="0.35">
      <c r="A22" s="188"/>
      <c r="B22" s="83"/>
      <c r="C22" s="27"/>
      <c r="D22" s="17"/>
      <c r="E22" s="44" t="str">
        <f>IF(D21&gt;36,"Stability issues more likely if energy density &gt; 36kcal/fl. Oz.",IF(D23&gt;1.2,"Stability issues more likely if energy density &gt; 1.2kcal/ml",""))</f>
        <v/>
      </c>
      <c r="F22" s="12"/>
      <c r="G22" s="12"/>
      <c r="Q22" s="141"/>
      <c r="R22" s="3"/>
      <c r="S22" s="3"/>
      <c r="T22" s="141"/>
      <c r="U22" s="141"/>
      <c r="V22" s="141"/>
      <c r="W22" s="141"/>
      <c r="X22" s="141"/>
      <c r="Y22" s="9"/>
      <c r="Z22" s="9"/>
      <c r="AA22" s="9"/>
      <c r="AB22" s="8"/>
      <c r="AC22" s="8"/>
      <c r="AD22" s="8"/>
    </row>
    <row r="23" spans="1:30" ht="14.15" customHeight="1" x14ac:dyDescent="0.35">
      <c r="A23" s="188"/>
      <c r="B23" s="82" t="s">
        <v>72</v>
      </c>
      <c r="C23" s="26" t="s">
        <v>73</v>
      </c>
      <c r="D23" s="111"/>
      <c r="E23" s="106" t="str">
        <f>E21</f>
        <v/>
      </c>
      <c r="F23" s="12"/>
      <c r="G23" s="12"/>
      <c r="Q23" s="141"/>
      <c r="R23" s="3"/>
      <c r="S23" s="3"/>
      <c r="T23" s="141"/>
      <c r="U23" s="141"/>
      <c r="V23" s="141"/>
      <c r="W23" s="141"/>
      <c r="X23" s="141"/>
      <c r="Y23" s="9"/>
      <c r="Z23" s="9"/>
      <c r="AA23" s="9"/>
      <c r="AB23" s="8"/>
      <c r="AC23" s="8"/>
      <c r="AD23" s="8"/>
    </row>
    <row r="24" spans="1:30" ht="14.15" customHeight="1" x14ac:dyDescent="0.35">
      <c r="A24" s="183"/>
      <c r="B24" s="76"/>
      <c r="C24" s="30"/>
      <c r="D24" s="13"/>
      <c r="E24" s="19"/>
      <c r="Q24" s="141"/>
      <c r="R24" s="4"/>
      <c r="S24" s="3"/>
      <c r="T24" s="141"/>
      <c r="U24" s="141"/>
      <c r="V24" s="141"/>
      <c r="W24" s="141"/>
      <c r="X24" s="141"/>
      <c r="Y24" s="9"/>
      <c r="Z24" s="9"/>
      <c r="AA24" s="9"/>
      <c r="AB24" s="8"/>
      <c r="AC24" s="8"/>
      <c r="AD24" s="8"/>
    </row>
    <row r="25" spans="1:30" ht="14.15" customHeight="1" x14ac:dyDescent="0.35">
      <c r="A25" s="74"/>
      <c r="B25" s="78"/>
      <c r="C25" s="53" t="s">
        <v>74</v>
      </c>
      <c r="D25" s="112"/>
      <c r="E25" s="107" t="s">
        <v>75</v>
      </c>
      <c r="Q25" s="141"/>
      <c r="R25" s="3"/>
      <c r="S25" s="3"/>
      <c r="T25" s="141"/>
      <c r="U25" s="141"/>
      <c r="V25" s="141"/>
      <c r="W25" s="141"/>
      <c r="X25" s="141"/>
      <c r="Y25" s="9"/>
      <c r="Z25" s="9"/>
      <c r="AA25" s="9"/>
      <c r="AB25" s="8"/>
      <c r="AC25" s="8"/>
      <c r="AD25" s="8"/>
    </row>
    <row r="26" spans="1:30" ht="14.15" customHeight="1" x14ac:dyDescent="0.35">
      <c r="A26" s="74"/>
      <c r="B26" s="78"/>
      <c r="C26" s="54"/>
      <c r="D26" s="54"/>
      <c r="Q26" s="141"/>
      <c r="R26" s="3"/>
      <c r="S26" s="3"/>
      <c r="T26" s="141"/>
      <c r="U26" s="141"/>
      <c r="V26" s="141"/>
      <c r="W26" s="141"/>
      <c r="X26" s="141"/>
      <c r="Y26" s="9"/>
      <c r="Z26" s="9"/>
      <c r="AA26" s="9"/>
      <c r="AB26" s="8"/>
      <c r="AC26" s="8"/>
      <c r="AD26" s="8"/>
    </row>
    <row r="27" spans="1:30" ht="31" customHeight="1" x14ac:dyDescent="0.35">
      <c r="Q27" s="141"/>
      <c r="R27" s="3"/>
      <c r="S27" s="3"/>
      <c r="T27" s="141"/>
      <c r="U27" s="141"/>
      <c r="V27" s="141"/>
      <c r="W27" s="141"/>
      <c r="X27" s="141"/>
      <c r="Y27" s="9"/>
      <c r="Z27" s="9"/>
      <c r="AA27" s="9"/>
      <c r="AB27" s="8"/>
      <c r="AC27" s="8"/>
      <c r="AD27" s="8"/>
    </row>
    <row r="28" spans="1:30" ht="37" customHeight="1" x14ac:dyDescent="0.35">
      <c r="A28" s="181" t="s">
        <v>76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Q28" s="141"/>
      <c r="R28" s="3"/>
      <c r="S28" s="3"/>
      <c r="T28" s="141"/>
      <c r="U28" s="141"/>
      <c r="V28" s="141"/>
      <c r="W28" s="141"/>
      <c r="X28" s="141"/>
      <c r="Y28" s="9"/>
      <c r="Z28" s="9"/>
      <c r="AA28" s="9"/>
    </row>
    <row r="29" spans="1:30" s="21" customFormat="1" ht="21" customHeight="1" x14ac:dyDescent="0.35">
      <c r="A29" s="57"/>
      <c r="B29" s="84"/>
      <c r="C29" s="58" t="s">
        <v>77</v>
      </c>
      <c r="D29" s="57"/>
      <c r="E29" s="57" t="s">
        <v>78</v>
      </c>
      <c r="F29" s="57">
        <v>1</v>
      </c>
      <c r="G29" s="57">
        <v>2</v>
      </c>
      <c r="H29" s="57">
        <v>3</v>
      </c>
      <c r="I29" s="57">
        <v>4</v>
      </c>
      <c r="J29" s="57">
        <v>5</v>
      </c>
      <c r="K29" s="57">
        <v>6</v>
      </c>
      <c r="L29" s="60">
        <v>7</v>
      </c>
      <c r="M29" s="59">
        <v>8</v>
      </c>
      <c r="N29" s="59">
        <v>9</v>
      </c>
      <c r="O29" s="59">
        <v>10</v>
      </c>
      <c r="Q29" s="23"/>
      <c r="R29" s="22"/>
      <c r="S29" s="22"/>
      <c r="T29" s="23"/>
      <c r="U29" s="23"/>
      <c r="V29" s="23"/>
      <c r="W29" s="23"/>
      <c r="X29" s="23"/>
      <c r="Y29" s="23"/>
      <c r="Z29" s="23"/>
      <c r="AA29" s="23"/>
    </row>
    <row r="30" spans="1:30" s="21" customFormat="1" ht="25" customHeight="1" x14ac:dyDescent="0.35">
      <c r="A30" s="36"/>
      <c r="B30" s="85"/>
      <c r="C30" s="33" t="s">
        <v>79</v>
      </c>
      <c r="D30" s="34"/>
      <c r="E30" s="34">
        <f>D7</f>
        <v>0</v>
      </c>
      <c r="F30" s="35" t="e">
        <f>$E$30/$S$5*($S$5-F29)</f>
        <v>#DIV/0!</v>
      </c>
      <c r="G30" s="35" t="e">
        <f t="shared" ref="G30:O30" si="0">$E$30/$S$5*($S$5-G29)</f>
        <v>#DIV/0!</v>
      </c>
      <c r="H30" s="35" t="e">
        <f t="shared" si="0"/>
        <v>#DIV/0!</v>
      </c>
      <c r="I30" s="35" t="e">
        <f t="shared" si="0"/>
        <v>#DIV/0!</v>
      </c>
      <c r="J30" s="35" t="e">
        <f t="shared" si="0"/>
        <v>#DIV/0!</v>
      </c>
      <c r="K30" s="35" t="e">
        <f t="shared" si="0"/>
        <v>#DIV/0!</v>
      </c>
      <c r="L30" s="35" t="e">
        <f t="shared" si="0"/>
        <v>#DIV/0!</v>
      </c>
      <c r="M30" s="35" t="e">
        <f t="shared" si="0"/>
        <v>#DIV/0!</v>
      </c>
      <c r="N30" s="35" t="e">
        <f t="shared" si="0"/>
        <v>#DIV/0!</v>
      </c>
      <c r="O30" s="35" t="e">
        <f t="shared" si="0"/>
        <v>#DIV/0!</v>
      </c>
      <c r="Q30" s="23"/>
      <c r="R30" s="22"/>
      <c r="S30" s="22"/>
      <c r="T30" s="23"/>
      <c r="U30" s="23"/>
      <c r="V30" s="23"/>
      <c r="W30" s="23"/>
      <c r="X30" s="23"/>
      <c r="Y30" s="23"/>
      <c r="Z30" s="23"/>
      <c r="AA30" s="23"/>
    </row>
    <row r="31" spans="1:30" s="21" customFormat="1" ht="25" customHeight="1" x14ac:dyDescent="0.35">
      <c r="A31" s="182" t="s">
        <v>69</v>
      </c>
      <c r="B31" s="86" t="s">
        <v>58</v>
      </c>
      <c r="C31" s="63" t="s">
        <v>80</v>
      </c>
      <c r="D31" s="62"/>
      <c r="E31" s="61" t="str">
        <f>IFERROR(MROUND(E30/$D$13, 0.5),"")</f>
        <v/>
      </c>
      <c r="F31" s="61" t="str">
        <f t="shared" ref="F31" si="1">IFERROR(MROUND(F30/$D$13, 0.5),"")</f>
        <v/>
      </c>
      <c r="G31" s="61" t="str">
        <f t="shared" ref="G31" si="2">IFERROR(MROUND(G30/$D$13, 0.5),"")</f>
        <v/>
      </c>
      <c r="H31" s="61" t="str">
        <f t="shared" ref="H31" si="3">IFERROR(MROUND(H30/$D$13, 0.5),"")</f>
        <v/>
      </c>
      <c r="I31" s="61" t="str">
        <f t="shared" ref="I31" si="4">IFERROR(MROUND(I30/$D$13, 0.5),"")</f>
        <v/>
      </c>
      <c r="J31" s="61" t="str">
        <f t="shared" ref="J31" si="5">IFERROR(MROUND(J30/$D$13, 0.5),"")</f>
        <v/>
      </c>
      <c r="K31" s="64" t="str">
        <f t="shared" ref="K31" si="6">IFERROR(MROUND(K30/$D$13, 0.5),"")</f>
        <v/>
      </c>
      <c r="L31" s="61" t="str">
        <f t="shared" ref="L31" si="7">IFERROR(MROUND(L30/$D$13, 0.5),"")</f>
        <v/>
      </c>
      <c r="M31" s="61" t="str">
        <f t="shared" ref="M31" si="8">IFERROR(MROUND(M30/$D$13, 0.5),"")</f>
        <v/>
      </c>
      <c r="N31" s="62" t="str">
        <f t="shared" ref="N31" si="9">IFERROR(MROUND(N30/$D$13, 0.5),"")</f>
        <v/>
      </c>
      <c r="O31" s="62" t="str">
        <f t="shared" ref="O31" si="10">IFERROR(MROUND(O30/$D$13, 0.5),"")</f>
        <v/>
      </c>
      <c r="R31" s="24"/>
      <c r="S31" s="24"/>
    </row>
    <row r="32" spans="1:30" s="21" customFormat="1" ht="25" customHeight="1" x14ac:dyDescent="0.35">
      <c r="A32" s="183"/>
      <c r="B32" s="87" t="s">
        <v>62</v>
      </c>
      <c r="C32" s="65" t="s">
        <v>81</v>
      </c>
      <c r="D32" s="66"/>
      <c r="E32" s="67" t="str">
        <f>IFERROR(MROUND(E30/$D$15,0.5),"")</f>
        <v/>
      </c>
      <c r="F32" s="67" t="str">
        <f t="shared" ref="F32" si="11">IFERROR(MROUND(F30/$D$15,0.5),"")</f>
        <v/>
      </c>
      <c r="G32" s="67" t="str">
        <f t="shared" ref="G32:O32" si="12">IFERROR(MROUND(G30/$D$15,0.5),"")</f>
        <v/>
      </c>
      <c r="H32" s="67" t="str">
        <f t="shared" si="12"/>
        <v/>
      </c>
      <c r="I32" s="67" t="str">
        <f t="shared" si="12"/>
        <v/>
      </c>
      <c r="J32" s="67" t="str">
        <f t="shared" si="12"/>
        <v/>
      </c>
      <c r="K32" s="67" t="str">
        <f t="shared" si="12"/>
        <v/>
      </c>
      <c r="L32" s="68" t="str">
        <f t="shared" si="12"/>
        <v/>
      </c>
      <c r="M32" s="62" t="str">
        <f t="shared" si="12"/>
        <v/>
      </c>
      <c r="N32" s="62" t="str">
        <f t="shared" si="12"/>
        <v/>
      </c>
      <c r="O32" s="62" t="str">
        <f t="shared" si="12"/>
        <v/>
      </c>
      <c r="R32" s="24"/>
      <c r="S32" s="24"/>
    </row>
    <row r="33" spans="1:19" s="21" customFormat="1" ht="25" customHeight="1" x14ac:dyDescent="0.35">
      <c r="A33" s="36"/>
      <c r="B33" s="88"/>
      <c r="C33" s="37" t="s">
        <v>82</v>
      </c>
      <c r="D33" s="38"/>
      <c r="E33" s="39">
        <f>(($D$7*$D$3/100)-(E30*$D$3/100))/0.3</f>
        <v>0</v>
      </c>
      <c r="F33" s="39" t="e">
        <f t="shared" ref="F33:O33" si="13">(($D$7*$D$3/100)-(F30*$D$3/100))/0.3</f>
        <v>#DIV/0!</v>
      </c>
      <c r="G33" s="39" t="e">
        <f t="shared" si="13"/>
        <v>#DIV/0!</v>
      </c>
      <c r="H33" s="39" t="e">
        <f t="shared" si="13"/>
        <v>#DIV/0!</v>
      </c>
      <c r="I33" s="39" t="e">
        <f t="shared" si="13"/>
        <v>#DIV/0!</v>
      </c>
      <c r="J33" s="39" t="e">
        <f t="shared" si="13"/>
        <v>#DIV/0!</v>
      </c>
      <c r="K33" s="39" t="e">
        <f t="shared" si="13"/>
        <v>#DIV/0!</v>
      </c>
      <c r="L33" s="35" t="e">
        <f t="shared" si="13"/>
        <v>#DIV/0!</v>
      </c>
      <c r="M33" s="35" t="e">
        <f t="shared" si="13"/>
        <v>#DIV/0!</v>
      </c>
      <c r="N33" s="35" t="e">
        <f t="shared" si="13"/>
        <v>#DIV/0!</v>
      </c>
      <c r="O33" s="35" t="e">
        <f t="shared" si="13"/>
        <v>#DIV/0!</v>
      </c>
      <c r="R33" s="24"/>
      <c r="S33" s="24"/>
    </row>
    <row r="34" spans="1:19" s="21" customFormat="1" ht="25" customHeight="1" x14ac:dyDescent="0.35">
      <c r="A34" s="182" t="s">
        <v>69</v>
      </c>
      <c r="B34" s="86" t="s">
        <v>58</v>
      </c>
      <c r="C34" s="63" t="s">
        <v>83</v>
      </c>
      <c r="D34" s="62"/>
      <c r="E34" s="62">
        <v>0</v>
      </c>
      <c r="F34" s="62" t="e">
        <f>CEILING(($D$17-($D$3*F30/100))/5,1)</f>
        <v>#DIV/0!</v>
      </c>
      <c r="G34" s="62" t="e">
        <f t="shared" ref="G34:O34" si="14">MROUND(($D$17-($D$3*G30/100))/5,1)</f>
        <v>#DIV/0!</v>
      </c>
      <c r="H34" s="62" t="e">
        <f t="shared" si="14"/>
        <v>#DIV/0!</v>
      </c>
      <c r="I34" s="62" t="e">
        <f t="shared" si="14"/>
        <v>#DIV/0!</v>
      </c>
      <c r="J34" s="62" t="e">
        <f t="shared" si="14"/>
        <v>#DIV/0!</v>
      </c>
      <c r="K34" s="62" t="e">
        <f t="shared" si="14"/>
        <v>#DIV/0!</v>
      </c>
      <c r="L34" s="62" t="e">
        <f t="shared" si="14"/>
        <v>#DIV/0!</v>
      </c>
      <c r="M34" s="62" t="e">
        <f t="shared" si="14"/>
        <v>#DIV/0!</v>
      </c>
      <c r="N34" s="62" t="e">
        <f t="shared" si="14"/>
        <v>#DIV/0!</v>
      </c>
      <c r="O34" s="62" t="e">
        <f t="shared" si="14"/>
        <v>#DIV/0!</v>
      </c>
      <c r="R34" s="24"/>
      <c r="S34" s="24"/>
    </row>
    <row r="35" spans="1:19" s="21" customFormat="1" ht="25" customHeight="1" x14ac:dyDescent="0.35">
      <c r="A35" s="183"/>
      <c r="B35" s="87" t="s">
        <v>62</v>
      </c>
      <c r="C35" s="65" t="s">
        <v>84</v>
      </c>
      <c r="D35" s="66"/>
      <c r="E35" s="66">
        <v>0</v>
      </c>
      <c r="F35" s="66" t="e">
        <f t="shared" ref="F35:O35" si="15">MROUND(($D$17-($D$3*F30/100))/2.7,1)</f>
        <v>#DIV/0!</v>
      </c>
      <c r="G35" s="66" t="e">
        <f t="shared" si="15"/>
        <v>#DIV/0!</v>
      </c>
      <c r="H35" s="66" t="e">
        <f t="shared" si="15"/>
        <v>#DIV/0!</v>
      </c>
      <c r="I35" s="66" t="e">
        <f t="shared" si="15"/>
        <v>#DIV/0!</v>
      </c>
      <c r="J35" s="66" t="e">
        <f t="shared" si="15"/>
        <v>#DIV/0!</v>
      </c>
      <c r="K35" s="66" t="e">
        <f t="shared" si="15"/>
        <v>#DIV/0!</v>
      </c>
      <c r="L35" s="62" t="e">
        <f t="shared" si="15"/>
        <v>#DIV/0!</v>
      </c>
      <c r="M35" s="62" t="e">
        <f t="shared" si="15"/>
        <v>#DIV/0!</v>
      </c>
      <c r="N35" s="62" t="e">
        <f t="shared" si="15"/>
        <v>#DIV/0!</v>
      </c>
      <c r="O35" s="62" t="e">
        <f t="shared" si="15"/>
        <v>#DIV/0!</v>
      </c>
      <c r="R35" s="24"/>
      <c r="S35" s="24"/>
    </row>
    <row r="36" spans="1:19" s="21" customFormat="1" ht="25" customHeight="1" x14ac:dyDescent="0.35">
      <c r="A36" s="36"/>
      <c r="B36" s="85"/>
      <c r="C36" s="33" t="s">
        <v>85</v>
      </c>
      <c r="D36" s="34"/>
      <c r="E36" s="34">
        <v>0</v>
      </c>
      <c r="F36" s="40" t="e">
        <f t="shared" ref="F36:O36" si="16">-($D$6*$D$7)+((F$33*$S$12)+(F$30*$D$6))</f>
        <v>#DIV/0!</v>
      </c>
      <c r="G36" s="40" t="e">
        <f t="shared" si="16"/>
        <v>#DIV/0!</v>
      </c>
      <c r="H36" s="40" t="e">
        <f t="shared" si="16"/>
        <v>#DIV/0!</v>
      </c>
      <c r="I36" s="40" t="e">
        <f t="shared" si="16"/>
        <v>#DIV/0!</v>
      </c>
      <c r="J36" s="40" t="e">
        <f t="shared" si="16"/>
        <v>#DIV/0!</v>
      </c>
      <c r="K36" s="40" t="e">
        <f t="shared" si="16"/>
        <v>#DIV/0!</v>
      </c>
      <c r="L36" s="40" t="e">
        <f t="shared" si="16"/>
        <v>#DIV/0!</v>
      </c>
      <c r="M36" s="40" t="e">
        <f t="shared" si="16"/>
        <v>#DIV/0!</v>
      </c>
      <c r="N36" s="40" t="e">
        <f t="shared" si="16"/>
        <v>#DIV/0!</v>
      </c>
      <c r="O36" s="40" t="e">
        <f t="shared" si="16"/>
        <v>#DIV/0!</v>
      </c>
      <c r="R36" s="24"/>
      <c r="S36" s="24"/>
    </row>
    <row r="37" spans="1:19" s="21" customFormat="1" ht="25" customHeight="1" x14ac:dyDescent="0.35">
      <c r="A37" s="69"/>
      <c r="B37" s="89"/>
      <c r="C37" s="63" t="str">
        <f>"Final volume "&amp;S6</f>
        <v>Final volume (ml)</v>
      </c>
      <c r="D37" s="62"/>
      <c r="E37" s="67">
        <f>IF($D$21&gt;0,(MROUND(((E30*$D$6)+(E35*36.45))/$D$21,0.5)),IF($D$23&gt;0,(MROUND(((E30*$D$6)+(E35*36.45))/$D$23,1)),MROUND(((E30*$D$6)+(E35*36.45))/$M$15,1)))</f>
        <v>0</v>
      </c>
      <c r="F37" s="67" t="e">
        <f t="shared" ref="F37:O37" si="17">IF($D$21&gt;0,(MROUND(((F30*$D$6)+(F35*36.45))/$D$21,0.5)),IF($D$23&gt;0,(MROUND(((F30*$D$6)+(F35*36.45))/$D$23,1)),MROUND(((F30*$D$6)+(F35*36.45))/$M$15,1)))</f>
        <v>#DIV/0!</v>
      </c>
      <c r="G37" s="67" t="e">
        <f t="shared" si="17"/>
        <v>#DIV/0!</v>
      </c>
      <c r="H37" s="67" t="e">
        <f t="shared" si="17"/>
        <v>#DIV/0!</v>
      </c>
      <c r="I37" s="67" t="e">
        <f t="shared" si="17"/>
        <v>#DIV/0!</v>
      </c>
      <c r="J37" s="67" t="e">
        <f t="shared" si="17"/>
        <v>#DIV/0!</v>
      </c>
      <c r="K37" s="67" t="e">
        <f t="shared" si="17"/>
        <v>#DIV/0!</v>
      </c>
      <c r="L37" s="68" t="e">
        <f t="shared" si="17"/>
        <v>#DIV/0!</v>
      </c>
      <c r="M37" s="68" t="e">
        <f t="shared" si="17"/>
        <v>#DIV/0!</v>
      </c>
      <c r="N37" s="68" t="e">
        <f t="shared" si="17"/>
        <v>#DIV/0!</v>
      </c>
      <c r="O37" s="68" t="e">
        <f t="shared" si="17"/>
        <v>#DIV/0!</v>
      </c>
      <c r="R37" s="24"/>
      <c r="S37" s="24"/>
    </row>
    <row r="38" spans="1:19" s="21" customFormat="1" ht="25" customHeight="1" x14ac:dyDescent="0.35">
      <c r="A38" s="36"/>
      <c r="B38" s="85"/>
      <c r="C38" s="33" t="str">
        <f>"Volume per feed "&amp;S6</f>
        <v>Volume per feed (ml)</v>
      </c>
      <c r="D38" s="34"/>
      <c r="E38" s="34">
        <f>IFERROR(MROUND(E37/$D$9,1),0)</f>
        <v>0</v>
      </c>
      <c r="F38" s="34">
        <f t="shared" ref="F38:O38" si="18">IFERROR(MROUND(F37/$D$9,1),0)</f>
        <v>0</v>
      </c>
      <c r="G38" s="34">
        <f t="shared" si="18"/>
        <v>0</v>
      </c>
      <c r="H38" s="34">
        <f t="shared" si="18"/>
        <v>0</v>
      </c>
      <c r="I38" s="34">
        <f t="shared" si="18"/>
        <v>0</v>
      </c>
      <c r="J38" s="34">
        <f t="shared" si="18"/>
        <v>0</v>
      </c>
      <c r="K38" s="34">
        <f t="shared" si="18"/>
        <v>0</v>
      </c>
      <c r="L38" s="38">
        <f t="shared" si="18"/>
        <v>0</v>
      </c>
      <c r="M38" s="38">
        <f t="shared" si="18"/>
        <v>0</v>
      </c>
      <c r="N38" s="38">
        <f t="shared" si="18"/>
        <v>0</v>
      </c>
      <c r="O38" s="38">
        <f t="shared" si="18"/>
        <v>0</v>
      </c>
      <c r="R38" s="24"/>
      <c r="S38" s="24"/>
    </row>
    <row r="39" spans="1:19" x14ac:dyDescent="0.35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9" ht="13" customHeight="1" x14ac:dyDescent="0.35">
      <c r="A40" s="74"/>
      <c r="B40" s="78"/>
      <c r="C40" s="54"/>
      <c r="D40" s="93"/>
      <c r="E40" s="93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9" ht="19" customHeight="1" x14ac:dyDescent="0.35">
      <c r="A41" s="74"/>
      <c r="B41" s="78"/>
      <c r="C41" s="90" t="s">
        <v>86</v>
      </c>
      <c r="D41" s="93"/>
      <c r="E41" s="93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9" ht="48.75" customHeight="1" x14ac:dyDescent="0.35">
      <c r="A42" s="74"/>
      <c r="B42" s="78"/>
      <c r="C42" s="178" t="s">
        <v>87</v>
      </c>
      <c r="D42" s="178"/>
      <c r="E42" s="93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9" ht="51.75" customHeight="1" x14ac:dyDescent="0.35">
      <c r="A43" s="74"/>
      <c r="B43" s="78"/>
      <c r="C43" s="179" t="s">
        <v>88</v>
      </c>
      <c r="D43" s="179"/>
      <c r="E43" s="54"/>
    </row>
    <row r="44" spans="1:19" ht="53.15" customHeight="1" x14ac:dyDescent="0.35">
      <c r="A44" s="74"/>
      <c r="B44" s="78"/>
      <c r="C44" s="179" t="s">
        <v>89</v>
      </c>
      <c r="D44" s="179"/>
      <c r="E44" s="54"/>
    </row>
    <row r="45" spans="1:19" ht="53.25" customHeight="1" x14ac:dyDescent="0.35">
      <c r="A45" s="74"/>
      <c r="B45" s="78"/>
      <c r="C45" s="179" t="s">
        <v>90</v>
      </c>
      <c r="D45" s="179"/>
      <c r="E45" s="54"/>
    </row>
    <row r="46" spans="1:19" x14ac:dyDescent="0.35">
      <c r="A46" s="74"/>
      <c r="B46" s="78"/>
      <c r="C46" s="54"/>
      <c r="D46" s="54"/>
      <c r="E46" s="54"/>
    </row>
    <row r="52" spans="3:3" ht="15.5" x14ac:dyDescent="0.35">
      <c r="C52" s="134"/>
    </row>
  </sheetData>
  <sheetProtection sheet="1" selectLockedCells="1"/>
  <dataConsolidate/>
  <mergeCells count="19">
    <mergeCell ref="C42:D42"/>
    <mergeCell ref="C43:D43"/>
    <mergeCell ref="C44:D44"/>
    <mergeCell ref="C45:D45"/>
    <mergeCell ref="A1:O1"/>
    <mergeCell ref="A28:O28"/>
    <mergeCell ref="A34:A35"/>
    <mergeCell ref="A31:A32"/>
    <mergeCell ref="I13:L13"/>
    <mergeCell ref="I15:L15"/>
    <mergeCell ref="I17:L17"/>
    <mergeCell ref="I18:L18"/>
    <mergeCell ref="A13:A16"/>
    <mergeCell ref="A21:A24"/>
    <mergeCell ref="R4:S4"/>
    <mergeCell ref="I12:N12"/>
    <mergeCell ref="M3:O3"/>
    <mergeCell ref="N4:O4"/>
    <mergeCell ref="N5:O5"/>
  </mergeCells>
  <conditionalFormatting sqref="E3">
    <cfRule type="expression" dxfId="19" priority="20">
      <formula>$D$3&gt;0</formula>
    </cfRule>
  </conditionalFormatting>
  <conditionalFormatting sqref="E5">
    <cfRule type="expression" dxfId="18" priority="17">
      <formula>$D$5&gt;0</formula>
    </cfRule>
  </conditionalFormatting>
  <conditionalFormatting sqref="E7">
    <cfRule type="expression" dxfId="17" priority="18">
      <formula>$D$7&gt;0</formula>
    </cfRule>
  </conditionalFormatting>
  <conditionalFormatting sqref="F11">
    <cfRule type="expression" dxfId="16" priority="16">
      <formula>$D$11&gt;0</formula>
    </cfRule>
  </conditionalFormatting>
  <conditionalFormatting sqref="E9:E10">
    <cfRule type="expression" dxfId="15" priority="19">
      <formula>$D$9&gt;0</formula>
    </cfRule>
  </conditionalFormatting>
  <conditionalFormatting sqref="E15:E16">
    <cfRule type="expression" dxfId="14" priority="13">
      <formula>$D$15&gt;0</formula>
    </cfRule>
    <cfRule type="expression" dxfId="13" priority="14">
      <formula>$D$11="tablespoons"</formula>
    </cfRule>
  </conditionalFormatting>
  <conditionalFormatting sqref="G29:O36 G38:O38">
    <cfRule type="expression" dxfId="12" priority="10">
      <formula>$S$5&lt;G$29</formula>
    </cfRule>
  </conditionalFormatting>
  <conditionalFormatting sqref="E13">
    <cfRule type="expression" dxfId="11" priority="7">
      <formula>$D$13&gt;0</formula>
    </cfRule>
    <cfRule type="expression" dxfId="10" priority="8">
      <formula>$D$11="scoops"</formula>
    </cfRule>
  </conditionalFormatting>
  <conditionalFormatting sqref="D13">
    <cfRule type="expression" dxfId="9" priority="4">
      <formula>$D$11="Scoops"</formula>
    </cfRule>
  </conditionalFormatting>
  <conditionalFormatting sqref="D15:D16">
    <cfRule type="expression" dxfId="8" priority="3">
      <formula>$D$11="tablespoons"</formula>
    </cfRule>
  </conditionalFormatting>
  <conditionalFormatting sqref="G37:O37">
    <cfRule type="expression" dxfId="7" priority="1">
      <formula>$S$5&lt;G$29</formula>
    </cfRule>
  </conditionalFormatting>
  <dataValidations count="4">
    <dataValidation type="whole" allowBlank="1" showInputMessage="1" showErrorMessage="1" errorTitle="Error" error="Please enter a number between 2 and 10" sqref="D25 D9:D10" xr:uid="{00000000-0002-0000-0000-000000000000}">
      <formula1>2</formula1>
      <formula2>10</formula2>
    </dataValidation>
    <dataValidation type="decimal" allowBlank="1" showInputMessage="1" showErrorMessage="1" errorTitle="Error" error="Please enter a value between 10 and 90" sqref="D3" xr:uid="{0CC56086-8F4E-401E-82AC-6424BDA0B717}">
      <formula1>10</formula1>
      <formula2>90</formula2>
    </dataValidation>
    <dataValidation type="decimal" operator="greaterThan" allowBlank="1" showInputMessage="1" showErrorMessage="1" errorTitle="Error" error="Please enter a positive value" sqref="D21 D23" xr:uid="{4685A4C1-DE5B-4A07-9D39-E240FD388CAE}">
      <formula1>0</formula1>
    </dataValidation>
    <dataValidation type="list" allowBlank="1" showInputMessage="1" showErrorMessage="1" sqref="D11 E10" xr:uid="{00000000-0002-0000-0000-000001000000}">
      <formula1>"scoops,tablespoons,grams"</formula1>
    </dataValidation>
  </dataValidations>
  <pageMargins left="0.7" right="0.7" top="0.75" bottom="0.75" header="0.3" footer="0.3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55"/>
  <sheetViews>
    <sheetView showGridLines="0" zoomScaleNormal="100" workbookViewId="0">
      <selection activeCell="E3" sqref="E3:F3"/>
    </sheetView>
  </sheetViews>
  <sheetFormatPr defaultColWidth="9.1796875" defaultRowHeight="18.5" x14ac:dyDescent="0.45"/>
  <cols>
    <col min="1" max="1" width="3.26953125" style="5" customWidth="1"/>
    <col min="2" max="2" width="21.453125" style="5" customWidth="1"/>
    <col min="3" max="3" width="4.1796875" style="5" hidden="1" customWidth="1"/>
    <col min="4" max="5" width="9.1796875" style="5" customWidth="1"/>
    <col min="6" max="7" width="6.453125" style="5" customWidth="1"/>
    <col min="8" max="9" width="7.453125" style="5" customWidth="1"/>
    <col min="10" max="11" width="6.453125" style="5" customWidth="1"/>
    <col min="12" max="13" width="4.81640625" style="5" customWidth="1"/>
    <col min="14" max="15" width="5.453125" style="5" customWidth="1"/>
    <col min="16" max="16" width="3.81640625" style="5" customWidth="1"/>
    <col min="17" max="17" width="4.81640625" style="104" customWidth="1"/>
    <col min="18" max="16384" width="9.1796875" style="5"/>
  </cols>
  <sheetData>
    <row r="1" spans="1:33" ht="57" customHeight="1" x14ac:dyDescent="0.45">
      <c r="A1" s="181" t="s">
        <v>91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03"/>
    </row>
    <row r="2" spans="1:33" x14ac:dyDescent="0.4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33" x14ac:dyDescent="0.45">
      <c r="A3" s="94"/>
      <c r="B3" s="95" t="s">
        <v>92</v>
      </c>
      <c r="C3" s="95"/>
      <c r="D3" s="95"/>
      <c r="E3" s="212">
        <f ca="1">TODAY()</f>
        <v>44810</v>
      </c>
      <c r="F3" s="212"/>
      <c r="G3" s="96"/>
      <c r="H3" s="96"/>
      <c r="I3" s="96"/>
      <c r="J3" s="96"/>
      <c r="K3" s="96"/>
      <c r="L3" s="96"/>
      <c r="M3" s="96"/>
      <c r="N3" s="96"/>
      <c r="O3" s="96"/>
      <c r="P3" s="94"/>
    </row>
    <row r="4" spans="1:33" x14ac:dyDescent="0.45">
      <c r="A4" s="94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4"/>
      <c r="W4" s="10"/>
      <c r="X4" s="6"/>
      <c r="Y4" s="6"/>
      <c r="Z4" s="6"/>
      <c r="AA4" s="6"/>
      <c r="AB4" s="6"/>
      <c r="AC4" s="6"/>
      <c r="AD4" s="10"/>
      <c r="AE4" s="10"/>
      <c r="AF4" s="10"/>
      <c r="AG4" s="10"/>
    </row>
    <row r="5" spans="1:33" x14ac:dyDescent="0.45">
      <c r="A5" s="94"/>
      <c r="B5" s="204" t="s">
        <v>93</v>
      </c>
      <c r="C5" s="204"/>
      <c r="D5" s="204"/>
      <c r="E5" s="190"/>
      <c r="F5" s="190"/>
      <c r="G5" s="190"/>
      <c r="H5" s="190"/>
      <c r="I5" s="190"/>
      <c r="J5" s="96"/>
      <c r="K5" s="96"/>
      <c r="L5" s="96"/>
      <c r="M5" s="96"/>
      <c r="N5" s="96"/>
      <c r="O5" s="96"/>
      <c r="P5" s="94"/>
      <c r="R5" s="5" t="s">
        <v>94</v>
      </c>
      <c r="AA5" s="6"/>
      <c r="AB5" s="6"/>
      <c r="AC5" s="6"/>
      <c r="AD5" s="10"/>
      <c r="AE5" s="10"/>
      <c r="AF5" s="10"/>
      <c r="AG5" s="10"/>
    </row>
    <row r="6" spans="1:33" x14ac:dyDescent="0.45">
      <c r="A6" s="94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4"/>
      <c r="R6" s="5" t="s">
        <v>95</v>
      </c>
      <c r="AA6" s="6"/>
      <c r="AB6" s="6"/>
      <c r="AC6" s="6"/>
      <c r="AD6" s="10"/>
      <c r="AE6" s="10"/>
      <c r="AF6" s="10"/>
      <c r="AG6" s="10"/>
    </row>
    <row r="7" spans="1:33" x14ac:dyDescent="0.45">
      <c r="A7" s="94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94"/>
      <c r="AA7" s="6"/>
      <c r="AB7" s="6"/>
      <c r="AC7" s="6"/>
      <c r="AD7" s="10"/>
      <c r="AE7" s="10"/>
      <c r="AF7" s="10"/>
      <c r="AG7" s="10"/>
    </row>
    <row r="8" spans="1:33" x14ac:dyDescent="0.45">
      <c r="A8" s="94"/>
      <c r="B8" s="211" t="s">
        <v>96</v>
      </c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94"/>
      <c r="W8" s="10"/>
      <c r="X8" s="6"/>
      <c r="Y8" s="6"/>
      <c r="Z8" s="6"/>
      <c r="AA8" s="6"/>
      <c r="AB8" s="6"/>
      <c r="AC8" s="6"/>
      <c r="AD8" s="10"/>
      <c r="AE8" s="10"/>
      <c r="AF8" s="10"/>
      <c r="AG8" s="10"/>
    </row>
    <row r="9" spans="1:33" ht="18.75" customHeight="1" x14ac:dyDescent="0.45">
      <c r="A9" s="94"/>
      <c r="B9" s="196" t="str">
        <f>"This feeding plan has been given in "&amp;'Transition Calculator'!D11&amp;"."&amp;" Please ensure you use the correct measurement tool for each product."</f>
        <v>This feeding plan has been given in tablespoons. Please ensure you use the correct measurement tool for each product.</v>
      </c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94"/>
      <c r="W9" s="10"/>
      <c r="X9" s="11" t="str">
        <f>'Transition Calculator'!D11</f>
        <v>tablespoons</v>
      </c>
      <c r="Y9" s="6"/>
      <c r="Z9" s="6"/>
      <c r="AA9" s="6"/>
      <c r="AB9" s="6"/>
      <c r="AC9" s="6"/>
      <c r="AD9" s="10"/>
      <c r="AE9" s="10"/>
      <c r="AF9" s="10"/>
      <c r="AG9" s="10"/>
    </row>
    <row r="10" spans="1:33" x14ac:dyDescent="0.45">
      <c r="A10" s="94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94"/>
      <c r="W10" s="10"/>
      <c r="X10" s="11" t="str">
        <f>'Transition Calculator'!S6</f>
        <v>(ml)</v>
      </c>
      <c r="Y10" s="6"/>
      <c r="Z10" s="6"/>
      <c r="AA10" s="6"/>
      <c r="AB10" s="6"/>
      <c r="AC10" s="6"/>
      <c r="AD10" s="10"/>
      <c r="AE10" s="10"/>
      <c r="AF10" s="10"/>
      <c r="AG10" s="10"/>
    </row>
    <row r="11" spans="1:33" x14ac:dyDescent="0.45">
      <c r="A11" s="94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96"/>
      <c r="O11" s="96"/>
      <c r="P11" s="98"/>
      <c r="Q11" s="105"/>
      <c r="R11" s="7"/>
      <c r="S11" s="7"/>
      <c r="T11" s="7"/>
      <c r="U11" s="7"/>
      <c r="V11" s="7"/>
      <c r="W11" s="10"/>
      <c r="X11" s="11"/>
      <c r="Y11" s="6"/>
      <c r="Z11" s="6"/>
      <c r="AA11" s="6"/>
      <c r="AB11" s="6"/>
      <c r="AC11" s="6"/>
      <c r="AD11" s="10"/>
      <c r="AE11" s="10"/>
      <c r="AF11" s="10"/>
      <c r="AG11" s="10"/>
    </row>
    <row r="12" spans="1:33" x14ac:dyDescent="0.45">
      <c r="A12" s="94"/>
      <c r="B12" s="96" t="s">
        <v>97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8"/>
      <c r="Q12" s="105"/>
      <c r="R12" s="7"/>
      <c r="S12" s="10"/>
      <c r="T12" s="10"/>
      <c r="U12" s="10"/>
      <c r="V12" s="10"/>
      <c r="W12" s="10"/>
      <c r="X12" s="6"/>
      <c r="Y12" s="6"/>
      <c r="Z12" s="6"/>
      <c r="AA12" s="6"/>
      <c r="AB12" s="6"/>
      <c r="AC12" s="6"/>
      <c r="AD12" s="10"/>
      <c r="AE12" s="10"/>
      <c r="AF12" s="10"/>
      <c r="AG12" s="10"/>
    </row>
    <row r="13" spans="1:33" x14ac:dyDescent="0.45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7"/>
      <c r="O13" s="97"/>
      <c r="P13" s="98"/>
      <c r="Q13" s="105"/>
      <c r="R13" s="7"/>
      <c r="S13" s="10"/>
      <c r="T13" s="10"/>
      <c r="U13" s="10"/>
      <c r="V13" s="10"/>
      <c r="W13" s="10"/>
      <c r="X13" s="6"/>
      <c r="Y13" s="6"/>
      <c r="Z13" s="6"/>
      <c r="AA13" s="6"/>
      <c r="AB13" s="6"/>
      <c r="AC13" s="6"/>
      <c r="AD13" s="10"/>
      <c r="AE13" s="10"/>
      <c r="AF13" s="10"/>
      <c r="AG13" s="10"/>
    </row>
    <row r="14" spans="1:33" x14ac:dyDescent="0.45">
      <c r="A14" s="94"/>
      <c r="B14" s="117"/>
      <c r="C14" s="117"/>
      <c r="D14" s="117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8"/>
      <c r="Q14" s="105"/>
      <c r="R14" s="7"/>
      <c r="S14" s="6"/>
      <c r="T14" s="6"/>
      <c r="U14" s="6"/>
      <c r="V14" s="6"/>
      <c r="W14" s="10"/>
      <c r="X14" s="6"/>
      <c r="Y14" s="6"/>
      <c r="Z14" s="6"/>
      <c r="AA14" s="6"/>
      <c r="AB14" s="6"/>
      <c r="AC14" s="6"/>
      <c r="AD14" s="10"/>
      <c r="AE14" s="10"/>
      <c r="AF14" s="10"/>
      <c r="AG14" s="10"/>
    </row>
    <row r="15" spans="1:33" ht="38.25" customHeight="1" x14ac:dyDescent="0.45">
      <c r="A15" s="116"/>
      <c r="B15" s="162"/>
      <c r="C15" s="163"/>
      <c r="D15" s="191" t="str">
        <f>"Number of "&amp;'Transition Calculator'!D11&amp;" of current Phe-Free Formula"</f>
        <v>Number of tablespoons of current Phe-Free Formula</v>
      </c>
      <c r="E15" s="191"/>
      <c r="F15" s="192" t="s">
        <v>79</v>
      </c>
      <c r="G15" s="192"/>
      <c r="H15" s="191" t="str">
        <f>"Number of "&amp;'Transition Calculator'!D11&amp;" of PKU trio"</f>
        <v>Number of tablespoons of PKU trio</v>
      </c>
      <c r="I15" s="191"/>
      <c r="J15" s="205" t="s">
        <v>82</v>
      </c>
      <c r="K15" s="205"/>
      <c r="L15" s="191" t="str">
        <f>'Transition Calculator'!C37</f>
        <v>Final volume (ml)</v>
      </c>
      <c r="M15" s="191"/>
      <c r="N15" s="191" t="str">
        <f>'Transition Calculator'!C38</f>
        <v>Volume per feed (ml)</v>
      </c>
      <c r="O15" s="191"/>
      <c r="P15" s="98"/>
      <c r="Q15" s="105"/>
      <c r="R15" s="6"/>
      <c r="S15" s="6"/>
      <c r="T15" s="6"/>
      <c r="U15" s="6"/>
      <c r="V15" s="6"/>
      <c r="W15" s="10"/>
      <c r="X15" s="6"/>
      <c r="Y15" s="6"/>
      <c r="Z15" s="6"/>
      <c r="AA15" s="6"/>
      <c r="AB15" s="6"/>
      <c r="AC15" s="6"/>
      <c r="AD15" s="10"/>
      <c r="AE15" s="10"/>
      <c r="AF15" s="10"/>
      <c r="AG15" s="10"/>
    </row>
    <row r="16" spans="1:33" ht="38.25" customHeight="1" x14ac:dyDescent="0.45">
      <c r="A16" s="116"/>
      <c r="B16" s="164"/>
      <c r="C16" s="163"/>
      <c r="D16" s="191"/>
      <c r="E16" s="191"/>
      <c r="F16" s="193"/>
      <c r="G16" s="193"/>
      <c r="H16" s="191"/>
      <c r="I16" s="191"/>
      <c r="J16" s="206"/>
      <c r="K16" s="206"/>
      <c r="L16" s="191"/>
      <c r="M16" s="191"/>
      <c r="N16" s="191"/>
      <c r="O16" s="191"/>
      <c r="P16" s="98"/>
      <c r="Q16" s="105"/>
      <c r="R16" s="6"/>
      <c r="S16" s="6"/>
      <c r="T16" s="11">
        <f>'Transition Calculator'!S5</f>
        <v>0</v>
      </c>
      <c r="U16" s="6"/>
      <c r="V16" s="6"/>
      <c r="W16" s="10"/>
      <c r="X16" s="6"/>
      <c r="Y16" s="6"/>
      <c r="Z16" s="6"/>
      <c r="AA16" s="6"/>
      <c r="AB16" s="6"/>
      <c r="AC16" s="6"/>
      <c r="AD16" s="10"/>
      <c r="AE16" s="10"/>
      <c r="AF16" s="10"/>
      <c r="AG16" s="10"/>
    </row>
    <row r="17" spans="1:33" x14ac:dyDescent="0.45">
      <c r="A17" s="116"/>
      <c r="B17" s="139" t="s">
        <v>78</v>
      </c>
      <c r="C17" s="138">
        <v>0</v>
      </c>
      <c r="D17" s="207" t="str">
        <f>IF(C17&gt;$T$16,"",IFERROR(VLOOKUP($D$15,'Transition Calculator'!$C$31:$O$32,'Patient Handout'!T17,FALSE),""))</f>
        <v/>
      </c>
      <c r="E17" s="207"/>
      <c r="F17" s="213">
        <f>IF(C17&gt;$T$16,"",VLOOKUP($F$15,'Transition Calculator'!$C$30:$O$30,T17,FALSE))</f>
        <v>0</v>
      </c>
      <c r="G17" s="213"/>
      <c r="H17" s="214">
        <f>IF(C17&gt;$T$16,"",IFERROR(VLOOKUP($H$15,'Transition Calculator'!$C$34:$O$35,T17,FALSE),""))</f>
        <v>0</v>
      </c>
      <c r="I17" s="214"/>
      <c r="J17" s="215">
        <f>IF(C17&gt;$T$16,"",VLOOKUP($J$15,'Transition Calculator'!$C$33:$O$33,'Patient Handout'!T17,FALSE))</f>
        <v>0</v>
      </c>
      <c r="K17" s="215"/>
      <c r="L17" s="216">
        <f>IF($X$10="(fl oz)",MROUND(VLOOKUP($L$15,'Transition Calculator'!$C$37:$O$37,'Patient Handout'!T17,FALSE),0.5),MROUND(VLOOKUP($L$15,'Transition Calculator'!$C$37:$O$37,'Patient Handout'!T17,FALSE),10))</f>
        <v>0</v>
      </c>
      <c r="M17" s="216"/>
      <c r="N17" s="214">
        <f>VLOOKUP($N$15,'Transition Calculator'!$C$38:$O$38,T17,FALSE)</f>
        <v>0</v>
      </c>
      <c r="O17" s="214"/>
      <c r="P17" s="98"/>
      <c r="Q17" s="105"/>
      <c r="R17" s="6"/>
      <c r="S17" s="6"/>
      <c r="T17" s="11">
        <v>3</v>
      </c>
      <c r="U17" s="6"/>
      <c r="V17" s="6"/>
      <c r="W17" s="10"/>
      <c r="X17" s="6"/>
      <c r="Y17" s="6"/>
      <c r="Z17" s="6"/>
      <c r="AA17" s="6"/>
      <c r="AB17" s="6"/>
      <c r="AC17" s="6"/>
      <c r="AD17" s="10"/>
      <c r="AE17" s="10"/>
      <c r="AF17" s="10"/>
      <c r="AG17" s="10"/>
    </row>
    <row r="18" spans="1:33" x14ac:dyDescent="0.45">
      <c r="A18" s="116"/>
      <c r="B18" s="140" t="s">
        <v>98</v>
      </c>
      <c r="C18" s="140">
        <v>1</v>
      </c>
      <c r="D18" s="195" t="str">
        <f>IF(C18&gt;$T$16,"",IFERROR(VLOOKUP($D$15,'Transition Calculator'!$C$31:$O$32,'Patient Handout'!T18,FALSE),""))</f>
        <v/>
      </c>
      <c r="E18" s="195"/>
      <c r="F18" s="199" t="str">
        <f>IF(C18&gt;$T$16,"",VLOOKUP($F$15,'Transition Calculator'!$C$30:$O$30,T18,FALSE))</f>
        <v/>
      </c>
      <c r="G18" s="199"/>
      <c r="H18" s="201" t="str">
        <f>IF(C18&gt;$T$16,"",IFERROR(VLOOKUP($H$15,'Transition Calculator'!$C$34:$O$35,T18,FALSE),""))</f>
        <v/>
      </c>
      <c r="I18" s="201"/>
      <c r="J18" s="199" t="str">
        <f>IF(C18&gt;$T$16,"",VLOOKUP($J$15,'Transition Calculator'!$C$33:$O$33,'Patient Handout'!T18,FALSE))</f>
        <v/>
      </c>
      <c r="K18" s="199"/>
      <c r="L18" s="202" t="e">
        <f>IF($X$10="(fl oz)",MROUND(VLOOKUP($L$15,'Transition Calculator'!$C$37:$O$37,'Patient Handout'!T18,FALSE),0.5),MROUND(VLOOKUP($L$15,'Transition Calculator'!$C$37:$O$37,'Patient Handout'!T18,FALSE),10))</f>
        <v>#DIV/0!</v>
      </c>
      <c r="M18" s="202"/>
      <c r="N18" s="201">
        <f>VLOOKUP($N$15,'Transition Calculator'!$C$38:$O$38,T18,FALSE)</f>
        <v>0</v>
      </c>
      <c r="O18" s="201"/>
      <c r="P18" s="98"/>
      <c r="Q18" s="7"/>
      <c r="R18" s="6"/>
      <c r="S18" s="6"/>
      <c r="T18" s="11">
        <v>4</v>
      </c>
      <c r="U18" s="6"/>
      <c r="V18" s="6"/>
      <c r="W18" s="10"/>
      <c r="X18" s="6"/>
      <c r="Y18" s="6"/>
      <c r="Z18" s="6"/>
      <c r="AA18" s="6"/>
      <c r="AB18" s="6"/>
      <c r="AC18" s="6"/>
      <c r="AD18" s="10"/>
      <c r="AE18" s="10"/>
      <c r="AF18" s="10"/>
      <c r="AG18" s="10"/>
    </row>
    <row r="19" spans="1:33" x14ac:dyDescent="0.45">
      <c r="A19" s="116"/>
      <c r="B19" s="137" t="s">
        <v>99</v>
      </c>
      <c r="C19" s="137">
        <v>2</v>
      </c>
      <c r="D19" s="194" t="str">
        <f>IF(C19&gt;$T$16,"",IFERROR(VLOOKUP($D$15,'Transition Calculator'!$C$31:$O$32,'Patient Handout'!T19,FALSE),""))</f>
        <v/>
      </c>
      <c r="E19" s="194"/>
      <c r="F19" s="199" t="str">
        <f>IF(C19&gt;$T$16,"",VLOOKUP($F$15,'Transition Calculator'!$C$30:$O$30,T19,FALSE))</f>
        <v/>
      </c>
      <c r="G19" s="199"/>
      <c r="H19" s="198" t="str">
        <f>IF(C19&gt;$T$16,"",IFERROR(VLOOKUP($H$15,'Transition Calculator'!$C$34:$O$35,T19,FALSE),""))</f>
        <v/>
      </c>
      <c r="I19" s="198"/>
      <c r="J19" s="199" t="str">
        <f>IF(C19&gt;$T$16,"",VLOOKUP($J$15,'Transition Calculator'!$C$33:$O$33,'Patient Handout'!T19,FALSE))</f>
        <v/>
      </c>
      <c r="K19" s="199"/>
      <c r="L19" s="200" t="e">
        <f>IF($X$10="(fl oz)",MROUND(VLOOKUP($L$15,'Transition Calculator'!$C$37:$O$37,'Patient Handout'!T19,FALSE),0.5),MROUND(VLOOKUP($L$15,'Transition Calculator'!$C$37:$O$37,'Patient Handout'!T19,FALSE),10))</f>
        <v>#DIV/0!</v>
      </c>
      <c r="M19" s="200"/>
      <c r="N19" s="198">
        <f>VLOOKUP($N$15,'Transition Calculator'!$C$38:$O$38,T19,FALSE)</f>
        <v>0</v>
      </c>
      <c r="O19" s="198"/>
      <c r="P19" s="98"/>
      <c r="Q19" s="7"/>
      <c r="R19" s="6"/>
      <c r="S19" s="6"/>
      <c r="T19" s="11">
        <v>5</v>
      </c>
      <c r="U19" s="6"/>
      <c r="V19" s="6"/>
      <c r="W19" s="10"/>
      <c r="X19" s="6"/>
      <c r="Y19" s="6"/>
      <c r="Z19" s="6"/>
      <c r="AA19" s="6"/>
      <c r="AB19" s="6"/>
      <c r="AC19" s="6"/>
      <c r="AD19" s="10"/>
      <c r="AE19" s="10"/>
      <c r="AF19" s="10"/>
      <c r="AG19" s="10"/>
    </row>
    <row r="20" spans="1:33" x14ac:dyDescent="0.45">
      <c r="A20" s="116"/>
      <c r="B20" s="140" t="s">
        <v>100</v>
      </c>
      <c r="C20" s="140">
        <v>3</v>
      </c>
      <c r="D20" s="195" t="str">
        <f>IF(C20&gt;$T$16,"",IFERROR(VLOOKUP($D$15,'Transition Calculator'!$C$31:$O$32,'Patient Handout'!T20,FALSE),""))</f>
        <v/>
      </c>
      <c r="E20" s="195"/>
      <c r="F20" s="199" t="str">
        <f>IF(C20&gt;$T$16,"",VLOOKUP($F$15,'Transition Calculator'!$C$30:$O$30,T20,FALSE))</f>
        <v/>
      </c>
      <c r="G20" s="199"/>
      <c r="H20" s="201" t="str">
        <f>IF(C20&gt;$T$16,"",IFERROR(VLOOKUP($H$15,'Transition Calculator'!$C$34:$O$35,T20,FALSE),""))</f>
        <v/>
      </c>
      <c r="I20" s="201"/>
      <c r="J20" s="199" t="str">
        <f>IF(C20&gt;$T$16,"",VLOOKUP($J$15,'Transition Calculator'!$C$33:$O$33,'Patient Handout'!T20,FALSE))</f>
        <v/>
      </c>
      <c r="K20" s="199"/>
      <c r="L20" s="202" t="e">
        <f>IF($X$10="(fl oz)",MROUND(VLOOKUP($L$15,'Transition Calculator'!$C$37:$O$37,'Patient Handout'!T20,FALSE),0.5),MROUND(VLOOKUP($L$15,'Transition Calculator'!$C$37:$O$37,'Patient Handout'!T20,FALSE),10))</f>
        <v>#DIV/0!</v>
      </c>
      <c r="M20" s="202"/>
      <c r="N20" s="201">
        <f>VLOOKUP($N$15,'Transition Calculator'!$C$38:$O$38,T20,FALSE)</f>
        <v>0</v>
      </c>
      <c r="O20" s="201"/>
      <c r="P20" s="98"/>
      <c r="Q20" s="7"/>
      <c r="R20" s="6"/>
      <c r="S20" s="6"/>
      <c r="T20" s="11">
        <v>6</v>
      </c>
      <c r="U20" s="6"/>
      <c r="V20" s="6"/>
      <c r="W20" s="10"/>
      <c r="X20" s="6"/>
      <c r="Y20" s="6"/>
      <c r="Z20" s="6"/>
      <c r="AA20" s="6"/>
      <c r="AB20" s="6"/>
      <c r="AC20" s="6"/>
      <c r="AD20" s="10"/>
      <c r="AE20" s="10"/>
      <c r="AF20" s="10"/>
      <c r="AG20" s="10"/>
    </row>
    <row r="21" spans="1:33" x14ac:dyDescent="0.45">
      <c r="A21" s="116"/>
      <c r="B21" s="137" t="s">
        <v>101</v>
      </c>
      <c r="C21" s="137">
        <v>4</v>
      </c>
      <c r="D21" s="194" t="str">
        <f>IF(C21&gt;$T$16,"",IFERROR(VLOOKUP($D$15,'Transition Calculator'!$C$31:$O$32,'Patient Handout'!T21,FALSE),""))</f>
        <v/>
      </c>
      <c r="E21" s="194"/>
      <c r="F21" s="199" t="str">
        <f>IF(C21&gt;$T$16,"",VLOOKUP($F$15,'Transition Calculator'!$C$30:$O$30,T21,FALSE))</f>
        <v/>
      </c>
      <c r="G21" s="199"/>
      <c r="H21" s="198" t="str">
        <f>IF(C21&gt;$T$16,"",IFERROR(VLOOKUP($H$15,'Transition Calculator'!$C$34:$O$35,T21,FALSE),""))</f>
        <v/>
      </c>
      <c r="I21" s="198"/>
      <c r="J21" s="199" t="str">
        <f>IF(C21&gt;$T$16,"",VLOOKUP($J$15,'Transition Calculator'!$C$33:$O$33,'Patient Handout'!T21,FALSE))</f>
        <v/>
      </c>
      <c r="K21" s="199"/>
      <c r="L21" s="200" t="e">
        <f>IF($X$10="(fl oz)",MROUND(VLOOKUP($L$15,'Transition Calculator'!$C$37:$O$37,'Patient Handout'!T21,FALSE),0.5),MROUND(VLOOKUP($L$15,'Transition Calculator'!$C$37:$O$37,'Patient Handout'!T21,FALSE),10))</f>
        <v>#DIV/0!</v>
      </c>
      <c r="M21" s="200"/>
      <c r="N21" s="198">
        <f>VLOOKUP($N$15,'Transition Calculator'!$C$38:$O$38,T21,FALSE)</f>
        <v>0</v>
      </c>
      <c r="O21" s="198"/>
      <c r="P21" s="98"/>
      <c r="Q21" s="7"/>
      <c r="R21" s="6"/>
      <c r="S21" s="6"/>
      <c r="T21" s="11">
        <v>7</v>
      </c>
      <c r="U21" s="6"/>
      <c r="V21" s="6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</row>
    <row r="22" spans="1:33" x14ac:dyDescent="0.45">
      <c r="A22" s="116"/>
      <c r="B22" s="140" t="s">
        <v>102</v>
      </c>
      <c r="C22" s="140">
        <v>5</v>
      </c>
      <c r="D22" s="195" t="str">
        <f>IF(C22&gt;$T$16,"",IFERROR(VLOOKUP($D$15,'Transition Calculator'!$C$31:$O$32,'Patient Handout'!T22,FALSE),""))</f>
        <v/>
      </c>
      <c r="E22" s="195"/>
      <c r="F22" s="199" t="str">
        <f>IF(C22&gt;$T$16,"",VLOOKUP($F$15,'Transition Calculator'!$C$30:$O$30,T22,FALSE))</f>
        <v/>
      </c>
      <c r="G22" s="199"/>
      <c r="H22" s="201" t="str">
        <f>IF(C22&gt;$T$16,"",IFERROR(VLOOKUP($H$15,'Transition Calculator'!$C$34:$O$35,T22,FALSE),""))</f>
        <v/>
      </c>
      <c r="I22" s="201"/>
      <c r="J22" s="199" t="str">
        <f>IF(C22&gt;$T$16,"",VLOOKUP($J$15,'Transition Calculator'!$C$33:$O$33,'Patient Handout'!T22,FALSE))</f>
        <v/>
      </c>
      <c r="K22" s="199"/>
      <c r="L22" s="202" t="e">
        <f>IF($X$10="(fl oz)",MROUND(VLOOKUP($L$15,'Transition Calculator'!$C$37:$O$37,'Patient Handout'!T22,FALSE),0.5),MROUND(VLOOKUP($L$15,'Transition Calculator'!$C$37:$O$37,'Patient Handout'!T22,FALSE),10))</f>
        <v>#DIV/0!</v>
      </c>
      <c r="M22" s="202"/>
      <c r="N22" s="201">
        <f>VLOOKUP($N$15,'Transition Calculator'!$C$38:$O$38,T22,FALSE)</f>
        <v>0</v>
      </c>
      <c r="O22" s="201"/>
      <c r="P22" s="98"/>
      <c r="Q22" s="7"/>
      <c r="R22" s="6"/>
      <c r="S22" s="6"/>
      <c r="T22" s="11">
        <v>8</v>
      </c>
      <c r="U22" s="6"/>
      <c r="V22" s="6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1:33" x14ac:dyDescent="0.45">
      <c r="A23" s="116"/>
      <c r="B23" s="137" t="s">
        <v>103</v>
      </c>
      <c r="C23" s="137">
        <v>6</v>
      </c>
      <c r="D23" s="194" t="str">
        <f>IF(C23&gt;$T$16,"",IFERROR(VLOOKUP($D$15,'Transition Calculator'!$C$31:$O$32,'Patient Handout'!T23,FALSE),""))</f>
        <v/>
      </c>
      <c r="E23" s="194"/>
      <c r="F23" s="199" t="str">
        <f>IF(C23&gt;$T$16,"",VLOOKUP($F$15,'Transition Calculator'!$C$30:$O$30,T23,FALSE))</f>
        <v/>
      </c>
      <c r="G23" s="199"/>
      <c r="H23" s="198" t="str">
        <f>IF(C23&gt;$T$16,"",IFERROR(VLOOKUP($H$15,'Transition Calculator'!$C$34:$O$35,T23,FALSE),""))</f>
        <v/>
      </c>
      <c r="I23" s="198"/>
      <c r="J23" s="199" t="str">
        <f>IF(C23&gt;$T$16,"",VLOOKUP($J$15,'Transition Calculator'!$C$33:$O$33,'Patient Handout'!T23,FALSE))</f>
        <v/>
      </c>
      <c r="K23" s="199"/>
      <c r="L23" s="200" t="e">
        <f>IF($X$10="(fl oz)",MROUND(VLOOKUP($L$15,'Transition Calculator'!$C$37:$O$37,'Patient Handout'!T23,FALSE),0.5),MROUND(VLOOKUP($L$15,'Transition Calculator'!$C$37:$O$37,'Patient Handout'!T23,FALSE),10))</f>
        <v>#DIV/0!</v>
      </c>
      <c r="M23" s="200"/>
      <c r="N23" s="198">
        <f>VLOOKUP($N$15,'Transition Calculator'!$C$38:$O$38,T23,FALSE)</f>
        <v>0</v>
      </c>
      <c r="O23" s="198"/>
      <c r="P23" s="98"/>
      <c r="Q23" s="7"/>
      <c r="R23" s="6"/>
      <c r="S23" s="6"/>
      <c r="T23" s="11">
        <v>9</v>
      </c>
      <c r="U23" s="6"/>
      <c r="V23" s="6"/>
      <c r="W23" s="10"/>
      <c r="X23" s="10"/>
      <c r="Y23" s="10"/>
      <c r="Z23" s="10"/>
      <c r="AA23" s="10"/>
      <c r="AB23" s="10"/>
      <c r="AC23" s="10"/>
    </row>
    <row r="24" spans="1:33" x14ac:dyDescent="0.45">
      <c r="A24" s="116"/>
      <c r="B24" s="140" t="s">
        <v>104</v>
      </c>
      <c r="C24" s="140">
        <v>7</v>
      </c>
      <c r="D24" s="195" t="str">
        <f>IF(C24&gt;$T$16,"",IFERROR(VLOOKUP($D$15,'Transition Calculator'!$C$31:$O$32,'Patient Handout'!T24,FALSE),""))</f>
        <v/>
      </c>
      <c r="E24" s="195"/>
      <c r="F24" s="199" t="str">
        <f>IF(C24&gt;$T$16,"",VLOOKUP($F$15,'Transition Calculator'!$C$30:$O$30,T24,FALSE))</f>
        <v/>
      </c>
      <c r="G24" s="199"/>
      <c r="H24" s="201" t="str">
        <f>IF(C24&gt;$T$16,"",IFERROR(VLOOKUP($H$15,'Transition Calculator'!$C$34:$O$35,T24,FALSE),""))</f>
        <v/>
      </c>
      <c r="I24" s="201"/>
      <c r="J24" s="199" t="str">
        <f>IF(C24&gt;$T$16,"",VLOOKUP($J$15,'Transition Calculator'!$C$33:$O$33,'Patient Handout'!T24,FALSE))</f>
        <v/>
      </c>
      <c r="K24" s="199"/>
      <c r="L24" s="202" t="e">
        <f>IF($X$10="(fl oz)",MROUND(VLOOKUP($L$15,'Transition Calculator'!$C$37:$O$37,'Patient Handout'!T24,FALSE),0.5),MROUND(VLOOKUP($L$15,'Transition Calculator'!$C$37:$O$37,'Patient Handout'!T24,FALSE),10))</f>
        <v>#DIV/0!</v>
      </c>
      <c r="M24" s="202"/>
      <c r="N24" s="201">
        <f>VLOOKUP($N$15,'Transition Calculator'!$C$38:$O$38,T24,FALSE)</f>
        <v>0</v>
      </c>
      <c r="O24" s="201"/>
      <c r="P24" s="98"/>
      <c r="Q24" s="7"/>
      <c r="R24" s="6"/>
      <c r="S24" s="6"/>
      <c r="T24" s="11">
        <v>10</v>
      </c>
      <c r="U24" s="6"/>
      <c r="V24" s="6"/>
      <c r="W24" s="10"/>
      <c r="X24" s="10"/>
      <c r="Y24" s="10"/>
      <c r="Z24" s="10"/>
      <c r="AA24" s="10"/>
      <c r="AB24" s="10"/>
      <c r="AC24" s="10"/>
    </row>
    <row r="25" spans="1:33" x14ac:dyDescent="0.45">
      <c r="A25" s="116"/>
      <c r="B25" s="137" t="s">
        <v>105</v>
      </c>
      <c r="C25" s="137">
        <v>8</v>
      </c>
      <c r="D25" s="194" t="str">
        <f>IF(C25&gt;$T$16,"",IFERROR(VLOOKUP($D$15,'Transition Calculator'!$C$31:$O$32,'Patient Handout'!T25,FALSE),""))</f>
        <v/>
      </c>
      <c r="E25" s="194"/>
      <c r="F25" s="199" t="str">
        <f>IF(C25&gt;$T$16,"",VLOOKUP($F$15,'Transition Calculator'!$C$30:$O$30,T25,FALSE))</f>
        <v/>
      </c>
      <c r="G25" s="199"/>
      <c r="H25" s="198" t="str">
        <f>IF(C25&gt;$T$16,"",IFERROR(VLOOKUP($H$15,'Transition Calculator'!$C$34:$O$35,T25,FALSE),""))</f>
        <v/>
      </c>
      <c r="I25" s="198"/>
      <c r="J25" s="199" t="str">
        <f>IF(C25&gt;$T$16,"",VLOOKUP($J$15,'Transition Calculator'!$C$33:$O$33,'Patient Handout'!T25,FALSE))</f>
        <v/>
      </c>
      <c r="K25" s="199"/>
      <c r="L25" s="200" t="e">
        <f>IF($X$10="(fl oz)",MROUND(VLOOKUP($L$15,'Transition Calculator'!$C$37:$O$37,'Patient Handout'!T25,FALSE),0.5),MROUND(VLOOKUP($L$15,'Transition Calculator'!$C$37:$O$37,'Patient Handout'!T25,FALSE),10))</f>
        <v>#DIV/0!</v>
      </c>
      <c r="M25" s="200"/>
      <c r="N25" s="198">
        <f>VLOOKUP($N$15,'Transition Calculator'!$C$38:$O$38,T25,FALSE)</f>
        <v>0</v>
      </c>
      <c r="O25" s="198"/>
      <c r="P25" s="98"/>
      <c r="Q25" s="7"/>
      <c r="R25" s="6"/>
      <c r="S25" s="6"/>
      <c r="T25" s="11">
        <v>11</v>
      </c>
      <c r="U25" s="6"/>
      <c r="V25" s="6"/>
      <c r="W25" s="10"/>
      <c r="X25" s="10"/>
      <c r="Y25" s="10"/>
      <c r="Z25" s="10"/>
      <c r="AA25" s="10"/>
      <c r="AB25" s="10"/>
      <c r="AC25" s="10"/>
    </row>
    <row r="26" spans="1:33" x14ac:dyDescent="0.45">
      <c r="A26" s="116"/>
      <c r="B26" s="140" t="s">
        <v>106</v>
      </c>
      <c r="C26" s="140">
        <v>9</v>
      </c>
      <c r="D26" s="195" t="str">
        <f>IF(C26&gt;$T$16,"",IFERROR(VLOOKUP($D$15,'Transition Calculator'!$C$31:$O$32,'Patient Handout'!T26,FALSE),""))</f>
        <v/>
      </c>
      <c r="E26" s="195"/>
      <c r="F26" s="199" t="str">
        <f>IF(C26&gt;$T$16,"",VLOOKUP($F$15,'Transition Calculator'!$C$30:$O$30,T26,FALSE))</f>
        <v/>
      </c>
      <c r="G26" s="199"/>
      <c r="H26" s="201" t="str">
        <f>IF(C26&gt;$T$16,"",IFERROR(VLOOKUP($H$15,'Transition Calculator'!$C$34:$O$35,T26,FALSE),""))</f>
        <v/>
      </c>
      <c r="I26" s="201"/>
      <c r="J26" s="199" t="str">
        <f>IF(C26&gt;$T$16,"",VLOOKUP($J$15,'Transition Calculator'!$C$33:$O$33,'Patient Handout'!T26,FALSE))</f>
        <v/>
      </c>
      <c r="K26" s="199"/>
      <c r="L26" s="202" t="e">
        <f>IF($X$10="(fl oz)",MROUND(VLOOKUP($L$15,'Transition Calculator'!$C$37:$O$37,'Patient Handout'!T26,FALSE),0.5),MROUND(VLOOKUP($L$15,'Transition Calculator'!$C$37:$O$37,'Patient Handout'!T26,FALSE),10))</f>
        <v>#DIV/0!</v>
      </c>
      <c r="M26" s="202"/>
      <c r="N26" s="201">
        <f>VLOOKUP($N$15,'Transition Calculator'!$C$38:$O$38,T26,FALSE)</f>
        <v>0</v>
      </c>
      <c r="O26" s="201"/>
      <c r="P26" s="98"/>
      <c r="Q26" s="7"/>
      <c r="R26" s="6"/>
      <c r="S26" s="6"/>
      <c r="T26" s="11">
        <v>12</v>
      </c>
      <c r="U26" s="6"/>
      <c r="V26" s="6"/>
      <c r="W26" s="10"/>
      <c r="X26" s="10"/>
      <c r="Y26" s="10"/>
      <c r="Z26" s="10"/>
      <c r="AA26" s="10"/>
      <c r="AB26" s="10"/>
      <c r="AC26" s="10"/>
    </row>
    <row r="27" spans="1:33" x14ac:dyDescent="0.45">
      <c r="A27" s="116"/>
      <c r="B27" s="137" t="s">
        <v>107</v>
      </c>
      <c r="C27" s="137">
        <v>10</v>
      </c>
      <c r="D27" s="194" t="str">
        <f>IF(C27&gt;$T$16,"",IFERROR(VLOOKUP($D$15,'Transition Calculator'!$C$31:$O$32,'Patient Handout'!T27,FALSE),""))</f>
        <v/>
      </c>
      <c r="E27" s="194"/>
      <c r="F27" s="203" t="str">
        <f>IF(C27&gt;$T$16,"",VLOOKUP($F$15,'Transition Calculator'!$C$30:$O$30,T27,FALSE))</f>
        <v/>
      </c>
      <c r="G27" s="203"/>
      <c r="H27" s="198" t="str">
        <f>IF(C27&gt;$T$16,"",IFERROR(VLOOKUP($H$15,'Transition Calculator'!$C$34:$O$35,T27,FALSE),""))</f>
        <v/>
      </c>
      <c r="I27" s="198"/>
      <c r="J27" s="203" t="str">
        <f>IF(C27&gt;$T$16,"",VLOOKUP($J$15,'Transition Calculator'!$C$33:$O$33,'Patient Handout'!T27,FALSE))</f>
        <v/>
      </c>
      <c r="K27" s="203"/>
      <c r="L27" s="200" t="e">
        <f>IF($X$10="(fl oz)",MROUND(VLOOKUP($L$15,'Transition Calculator'!$C$37:$O$37,'Patient Handout'!T27,FALSE),0.5),MROUND(VLOOKUP($L$15,'Transition Calculator'!$C$37:$O$37,'Patient Handout'!T27,FALSE),10))</f>
        <v>#DIV/0!</v>
      </c>
      <c r="M27" s="200"/>
      <c r="N27" s="198">
        <f>VLOOKUP($N$15,'Transition Calculator'!$C$38:$O$38,T27,FALSE)</f>
        <v>0</v>
      </c>
      <c r="O27" s="198"/>
      <c r="P27" s="98"/>
      <c r="Q27" s="7"/>
      <c r="R27" s="6"/>
      <c r="S27" s="6"/>
      <c r="T27" s="11">
        <v>13</v>
      </c>
      <c r="U27" s="6"/>
      <c r="V27" s="6"/>
      <c r="W27" s="10"/>
      <c r="X27" s="10"/>
      <c r="Y27" s="10"/>
      <c r="Z27" s="10"/>
      <c r="AA27" s="10"/>
      <c r="AB27" s="10"/>
      <c r="AC27" s="10"/>
    </row>
    <row r="28" spans="1:33" x14ac:dyDescent="0.45">
      <c r="A28" s="116"/>
      <c r="B28" s="94"/>
      <c r="C28" s="94"/>
      <c r="D28" s="94"/>
      <c r="E28" s="94"/>
      <c r="F28" s="94"/>
      <c r="G28" s="94"/>
      <c r="H28" s="94"/>
      <c r="I28" s="94"/>
      <c r="J28" s="115"/>
      <c r="K28" s="115"/>
      <c r="L28" s="94"/>
      <c r="M28" s="94"/>
      <c r="N28" s="94"/>
      <c r="O28" s="94"/>
      <c r="P28" s="98"/>
      <c r="Q28" s="105"/>
      <c r="R28" s="6"/>
      <c r="S28" s="6"/>
      <c r="T28" s="11"/>
      <c r="U28" s="6"/>
      <c r="V28" s="6"/>
      <c r="W28" s="10"/>
      <c r="X28" s="10"/>
      <c r="Y28" s="10"/>
      <c r="Z28" s="10"/>
      <c r="AA28" s="10"/>
      <c r="AB28" s="10"/>
      <c r="AC28" s="10"/>
    </row>
    <row r="29" spans="1:33" x14ac:dyDescent="0.45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8"/>
      <c r="Q29" s="105"/>
      <c r="R29" s="6"/>
      <c r="S29" s="6"/>
      <c r="T29" s="6"/>
      <c r="U29" s="6"/>
      <c r="V29" s="6"/>
      <c r="W29" s="10"/>
      <c r="X29" s="10"/>
      <c r="Y29" s="10"/>
      <c r="Z29" s="10"/>
      <c r="AA29" s="10"/>
      <c r="AB29" s="10"/>
      <c r="AC29" s="10"/>
    </row>
    <row r="30" spans="1:33" x14ac:dyDescent="0.45">
      <c r="A30" s="94"/>
      <c r="B30" s="96" t="str">
        <f>"Split the volume into "&amp;'Transition Calculator'!D9&amp;" feeds throughout the day, as documented above."</f>
        <v>Split the volume into  feeds throughout the day, as documented above.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8"/>
      <c r="Q30" s="105"/>
      <c r="R30" s="7"/>
      <c r="S30" s="6"/>
      <c r="T30" s="6"/>
      <c r="U30" s="6"/>
      <c r="V30" s="6"/>
      <c r="W30" s="10"/>
      <c r="X30" s="10"/>
      <c r="Y30" s="10"/>
      <c r="Z30" s="10"/>
      <c r="AA30" s="10"/>
      <c r="AB30" s="10"/>
      <c r="AC30" s="10"/>
    </row>
    <row r="31" spans="1:33" x14ac:dyDescent="0.45">
      <c r="A31" s="94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4"/>
      <c r="S31" s="6"/>
      <c r="T31" s="6"/>
      <c r="U31" s="6"/>
      <c r="V31" s="6"/>
      <c r="W31" s="10"/>
      <c r="X31" s="10"/>
      <c r="Y31" s="10"/>
      <c r="Z31" s="10"/>
      <c r="AA31" s="10"/>
      <c r="AB31" s="10"/>
      <c r="AC31" s="10"/>
    </row>
    <row r="32" spans="1:33" x14ac:dyDescent="0.45">
      <c r="A32" s="94"/>
      <c r="B32" s="99" t="s">
        <v>108</v>
      </c>
      <c r="C32" s="99"/>
      <c r="D32" s="99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4"/>
      <c r="S32" s="6"/>
      <c r="T32" s="6"/>
      <c r="U32" s="6"/>
      <c r="V32" s="6"/>
    </row>
    <row r="33" spans="1:22" x14ac:dyDescent="0.45">
      <c r="A33" s="94"/>
      <c r="B33" s="96" t="s">
        <v>109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4"/>
      <c r="S33" s="6"/>
      <c r="T33" s="6"/>
      <c r="U33" s="6"/>
      <c r="V33" s="6"/>
    </row>
    <row r="34" spans="1:22" x14ac:dyDescent="0.45">
      <c r="A34" s="94"/>
      <c r="B34" s="209" t="s">
        <v>88</v>
      </c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94"/>
      <c r="S34" s="6"/>
      <c r="T34" s="6"/>
      <c r="U34" s="6"/>
      <c r="V34" s="6"/>
    </row>
    <row r="35" spans="1:22" x14ac:dyDescent="0.45">
      <c r="A35" s="94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94"/>
      <c r="S35" s="6"/>
      <c r="T35" s="6"/>
      <c r="U35" s="6"/>
      <c r="V35" s="6"/>
    </row>
    <row r="36" spans="1:22" x14ac:dyDescent="0.45">
      <c r="A36" s="94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94"/>
      <c r="S36" s="6"/>
      <c r="T36" s="6"/>
      <c r="U36" s="6"/>
      <c r="V36" s="6"/>
    </row>
    <row r="37" spans="1:22" x14ac:dyDescent="0.45">
      <c r="A37" s="94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94"/>
      <c r="S37" s="6"/>
      <c r="T37" s="6"/>
      <c r="U37" s="6"/>
      <c r="V37" s="6"/>
    </row>
    <row r="38" spans="1:22" x14ac:dyDescent="0.45">
      <c r="A38" s="94"/>
      <c r="B38" s="95" t="s">
        <v>110</v>
      </c>
      <c r="C38" s="95"/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4"/>
      <c r="S38" s="6"/>
      <c r="T38" s="6"/>
      <c r="U38" s="6"/>
      <c r="V38" s="6"/>
    </row>
    <row r="39" spans="1:22" x14ac:dyDescent="0.45">
      <c r="A39" s="94"/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94"/>
      <c r="S39" s="6"/>
      <c r="T39" s="6"/>
      <c r="U39" s="6"/>
      <c r="V39" s="6"/>
    </row>
    <row r="40" spans="1:22" x14ac:dyDescent="0.45">
      <c r="A40" s="94"/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94"/>
      <c r="S40" s="6"/>
      <c r="T40" s="6"/>
      <c r="U40" s="6"/>
      <c r="V40" s="6"/>
    </row>
    <row r="41" spans="1:22" x14ac:dyDescent="0.45">
      <c r="A41" s="94"/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94"/>
    </row>
    <row r="42" spans="1:22" x14ac:dyDescent="0.45">
      <c r="A42" s="94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94"/>
    </row>
    <row r="43" spans="1:22" x14ac:dyDescent="0.45">
      <c r="A43" s="94"/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94"/>
    </row>
    <row r="44" spans="1:22" x14ac:dyDescent="0.45">
      <c r="A44" s="94"/>
      <c r="B44" s="196" t="s">
        <v>111</v>
      </c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96"/>
      <c r="N44" s="96"/>
      <c r="O44" s="94"/>
      <c r="P44" s="94"/>
    </row>
    <row r="45" spans="1:22" ht="41.25" customHeight="1" x14ac:dyDescent="0.45">
      <c r="A45" s="94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01"/>
      <c r="N45" s="96"/>
      <c r="O45" s="94"/>
      <c r="P45" s="94"/>
    </row>
    <row r="46" spans="1:22" x14ac:dyDescent="0.45">
      <c r="A46" s="94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4"/>
      <c r="P46" s="94"/>
    </row>
    <row r="47" spans="1:22" x14ac:dyDescent="0.45">
      <c r="A47" s="94"/>
      <c r="B47" s="95" t="s">
        <v>112</v>
      </c>
      <c r="C47" s="95"/>
      <c r="D47" s="95"/>
      <c r="E47" s="197"/>
      <c r="F47" s="197"/>
      <c r="G47" s="197"/>
      <c r="H47" s="197"/>
      <c r="I47" s="197"/>
      <c r="J47" s="96"/>
      <c r="K47" s="96"/>
      <c r="L47" s="96"/>
      <c r="M47" s="96"/>
      <c r="N47" s="96"/>
      <c r="O47" s="94"/>
      <c r="P47" s="94"/>
    </row>
    <row r="48" spans="1:22" x14ac:dyDescent="0.45">
      <c r="A48" s="94"/>
      <c r="B48" s="95"/>
      <c r="C48" s="95"/>
      <c r="D48" s="95"/>
      <c r="E48" s="136"/>
      <c r="F48" s="136"/>
      <c r="G48" s="136"/>
      <c r="H48" s="136"/>
      <c r="I48" s="136"/>
      <c r="J48" s="96"/>
      <c r="K48" s="96"/>
      <c r="L48" s="96"/>
      <c r="M48" s="96"/>
      <c r="N48" s="96"/>
      <c r="O48" s="94"/>
      <c r="P48" s="94"/>
    </row>
    <row r="49" spans="1:16" x14ac:dyDescent="0.45">
      <c r="A49" s="94"/>
      <c r="B49" s="95" t="s">
        <v>113</v>
      </c>
      <c r="C49" s="95"/>
      <c r="D49" s="95"/>
      <c r="E49" s="189"/>
      <c r="F49" s="189"/>
      <c r="G49" s="189"/>
      <c r="H49" s="189"/>
      <c r="I49" s="189"/>
      <c r="J49" s="96"/>
      <c r="K49" s="96"/>
      <c r="L49" s="96"/>
      <c r="M49" s="96"/>
      <c r="N49" s="96"/>
      <c r="O49" s="94"/>
      <c r="P49" s="94"/>
    </row>
    <row r="50" spans="1:16" x14ac:dyDescent="0.45">
      <c r="A50" s="94"/>
      <c r="B50" s="95"/>
      <c r="C50" s="95"/>
      <c r="D50" s="95"/>
      <c r="E50" s="189"/>
      <c r="F50" s="189"/>
      <c r="G50" s="189"/>
      <c r="H50" s="189"/>
      <c r="I50" s="189"/>
      <c r="J50" s="96"/>
      <c r="K50" s="96"/>
      <c r="L50" s="96"/>
      <c r="M50" s="96"/>
      <c r="N50" s="96"/>
      <c r="O50" s="94"/>
      <c r="P50" s="94"/>
    </row>
    <row r="51" spans="1:16" x14ac:dyDescent="0.45">
      <c r="A51" s="94"/>
      <c r="B51" s="96"/>
      <c r="C51" s="96"/>
      <c r="D51" s="96"/>
      <c r="E51" s="189"/>
      <c r="F51" s="189"/>
      <c r="G51" s="189"/>
      <c r="H51" s="189"/>
      <c r="I51" s="189"/>
      <c r="J51" s="96"/>
      <c r="K51" s="96"/>
      <c r="L51" s="96"/>
      <c r="M51" s="96"/>
      <c r="N51" s="96"/>
      <c r="O51" s="94"/>
      <c r="P51" s="94"/>
    </row>
    <row r="52" spans="1:16" x14ac:dyDescent="0.45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</row>
    <row r="53" spans="1:16" x14ac:dyDescent="0.45">
      <c r="A53" s="94"/>
      <c r="B53" s="208" t="s">
        <v>114</v>
      </c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94"/>
    </row>
    <row r="54" spans="1:16" x14ac:dyDescent="0.45">
      <c r="A54" s="94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94"/>
    </row>
    <row r="55" spans="1:16" x14ac:dyDescent="0.45">
      <c r="A55" s="94"/>
      <c r="B55" s="208"/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94"/>
    </row>
  </sheetData>
  <sheetProtection sheet="1" objects="1" scenarios="1"/>
  <mergeCells count="84">
    <mergeCell ref="A1:P1"/>
    <mergeCell ref="B53:O55"/>
    <mergeCell ref="B34:O35"/>
    <mergeCell ref="B39:O43"/>
    <mergeCell ref="B9:O10"/>
    <mergeCell ref="B8:O8"/>
    <mergeCell ref="E3:F3"/>
    <mergeCell ref="F17:G17"/>
    <mergeCell ref="H17:I17"/>
    <mergeCell ref="J17:K17"/>
    <mergeCell ref="L17:M17"/>
    <mergeCell ref="N17:O17"/>
    <mergeCell ref="H26:I26"/>
    <mergeCell ref="J26:K26"/>
    <mergeCell ref="L26:M26"/>
    <mergeCell ref="N26:O26"/>
    <mergeCell ref="F27:G27"/>
    <mergeCell ref="H27:I27"/>
    <mergeCell ref="B5:D5"/>
    <mergeCell ref="H25:I25"/>
    <mergeCell ref="J25:K25"/>
    <mergeCell ref="J15:K16"/>
    <mergeCell ref="D27:E27"/>
    <mergeCell ref="F18:G18"/>
    <mergeCell ref="D17:E17"/>
    <mergeCell ref="D18:E18"/>
    <mergeCell ref="L25:M25"/>
    <mergeCell ref="D24:E24"/>
    <mergeCell ref="D19:E19"/>
    <mergeCell ref="D20:E20"/>
    <mergeCell ref="F26:G26"/>
    <mergeCell ref="F25:G25"/>
    <mergeCell ref="F23:G23"/>
    <mergeCell ref="F24:G24"/>
    <mergeCell ref="F20:G20"/>
    <mergeCell ref="D25:E25"/>
    <mergeCell ref="D26:E26"/>
    <mergeCell ref="F19:G19"/>
    <mergeCell ref="F22:G22"/>
    <mergeCell ref="F21:G21"/>
    <mergeCell ref="L15:M16"/>
    <mergeCell ref="H21:I21"/>
    <mergeCell ref="J21:K21"/>
    <mergeCell ref="L21:M21"/>
    <mergeCell ref="N21:O21"/>
    <mergeCell ref="L20:M20"/>
    <mergeCell ref="N15:O16"/>
    <mergeCell ref="H20:I20"/>
    <mergeCell ref="J20:K20"/>
    <mergeCell ref="N18:O18"/>
    <mergeCell ref="N19:O19"/>
    <mergeCell ref="N20:O20"/>
    <mergeCell ref="N27:O27"/>
    <mergeCell ref="H22:I22"/>
    <mergeCell ref="J22:K22"/>
    <mergeCell ref="L22:M22"/>
    <mergeCell ref="N22:O22"/>
    <mergeCell ref="H23:I23"/>
    <mergeCell ref="J23:K23"/>
    <mergeCell ref="L23:M23"/>
    <mergeCell ref="N23:O23"/>
    <mergeCell ref="J24:K24"/>
    <mergeCell ref="L24:M24"/>
    <mergeCell ref="N24:O24"/>
    <mergeCell ref="N25:O25"/>
    <mergeCell ref="H24:I24"/>
    <mergeCell ref="J27:K27"/>
    <mergeCell ref="L27:M27"/>
    <mergeCell ref="E49:I51"/>
    <mergeCell ref="E5:I5"/>
    <mergeCell ref="D15:E16"/>
    <mergeCell ref="F15:G16"/>
    <mergeCell ref="H15:I16"/>
    <mergeCell ref="D21:E21"/>
    <mergeCell ref="D22:E22"/>
    <mergeCell ref="D23:E23"/>
    <mergeCell ref="B44:L45"/>
    <mergeCell ref="E47:I47"/>
    <mergeCell ref="H19:I19"/>
    <mergeCell ref="J19:K19"/>
    <mergeCell ref="L19:M19"/>
    <mergeCell ref="H18:I18"/>
    <mergeCell ref="J18:K18"/>
    <mergeCell ref="L18:M18"/>
  </mergeCells>
  <conditionalFormatting sqref="E5:I5">
    <cfRule type="expression" dxfId="6" priority="7">
      <formula>$E$5&gt;0</formula>
    </cfRule>
  </conditionalFormatting>
  <conditionalFormatting sqref="E47:I48">
    <cfRule type="expression" dxfId="5" priority="6">
      <formula>$E$47&gt;0</formula>
    </cfRule>
  </conditionalFormatting>
  <conditionalFormatting sqref="E49:I51">
    <cfRule type="expression" dxfId="4" priority="5">
      <formula>$E$49&gt;0</formula>
    </cfRule>
  </conditionalFormatting>
  <conditionalFormatting sqref="B39:C39">
    <cfRule type="expression" dxfId="3" priority="3">
      <formula>$B$39&gt;0</formula>
    </cfRule>
  </conditionalFormatting>
  <conditionalFormatting sqref="B17:O27">
    <cfRule type="expression" dxfId="2" priority="1">
      <formula>$C17&gt;$T$16</formula>
    </cfRule>
  </conditionalFormatting>
  <conditionalFormatting sqref="H15:I27 D15:E27">
    <cfRule type="expression" dxfId="1" priority="2">
      <formula>$X$9="grams"</formula>
    </cfRule>
  </conditionalFormatting>
  <conditionalFormatting sqref="F15:G27 J15:K27">
    <cfRule type="expression" dxfId="0" priority="11">
      <formula>$X$9="grams"</formula>
    </cfRule>
  </conditionalFormatting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F400D-5988-4FCC-8788-485BBD80C455}">
  <dimension ref="A2:C3"/>
  <sheetViews>
    <sheetView workbookViewId="0">
      <selection activeCell="A4" sqref="A4"/>
    </sheetView>
  </sheetViews>
  <sheetFormatPr defaultRowHeight="14.5" x14ac:dyDescent="0.35"/>
  <cols>
    <col min="2" max="2" width="44.81640625" customWidth="1"/>
    <col min="3" max="3" width="10.453125" bestFit="1" customWidth="1"/>
  </cols>
  <sheetData>
    <row r="2" spans="1:3" s="145" customFormat="1" x14ac:dyDescent="0.35">
      <c r="A2" s="145" t="s">
        <v>115</v>
      </c>
      <c r="B2" s="145" t="s">
        <v>116</v>
      </c>
      <c r="C2" s="145" t="s">
        <v>117</v>
      </c>
    </row>
    <row r="3" spans="1:3" x14ac:dyDescent="0.35">
      <c r="A3">
        <v>1.1000000000000001</v>
      </c>
      <c r="B3" t="s">
        <v>118</v>
      </c>
      <c r="C3" s="144">
        <v>44060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0 xmlns="fa28d30e-0349-4ce5-916f-34c135b42920" xsi:nil="true"/>
    <TaxCatchAll xmlns="4e400a02-b582-451c-b3dc-e10c465ad357" xsi:nil="true"/>
    <lcf76f155ced4ddcb4097134ff3c332f xmlns="fa28d30e-0349-4ce5-916f-34c135b4292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88AB88D879642888610102F93C26F" ma:contentTypeVersion="34" ma:contentTypeDescription="Create a new document." ma:contentTypeScope="" ma:versionID="3a51ba3419f6c22b4cd7417b3c4746f9">
  <xsd:schema xmlns:xsd="http://www.w3.org/2001/XMLSchema" xmlns:xs="http://www.w3.org/2001/XMLSchema" xmlns:p="http://schemas.microsoft.com/office/2006/metadata/properties" xmlns:ns2="fa28d30e-0349-4ce5-916f-34c135b42920" xmlns:ns3="4e400a02-b582-451c-b3dc-e10c465ad357" targetNamespace="http://schemas.microsoft.com/office/2006/metadata/properties" ma:root="true" ma:fieldsID="df3998ee3fe355df88d4686cdfbbcf2d" ns2:_="" ns3:_="">
    <xsd:import namespace="fa28d30e-0349-4ce5-916f-34c135b42920"/>
    <xsd:import namespace="4e400a02-b582-451c-b3dc-e10c465ad3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Order0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8d30e-0349-4ce5-916f-34c135b429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Order0" ma:index="21" nillable="true" ma:displayName="Order" ma:format="Dropdown" ma:internalName="Order0" ma:percentage="FALSE">
      <xsd:simpleType>
        <xsd:restriction base="dms:Number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a54e1815-2d86-458e-ad98-f61fa78874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400a02-b582-451c-b3dc-e10c465ad35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4e8ba62-3f99-47b7-9686-128dadeac66f}" ma:internalName="TaxCatchAll" ma:showField="CatchAllData" ma:web="4e400a02-b582-451c-b3dc-e10c465ad3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F7116C-45C9-4E52-848E-BC7F959CA90C}">
  <ds:schemaRefs>
    <ds:schemaRef ds:uri="http://schemas.microsoft.com/office/2006/metadata/properties"/>
    <ds:schemaRef ds:uri="http://schemas.microsoft.com/office/infopath/2007/PartnerControls"/>
    <ds:schemaRef ds:uri="fa28d30e-0349-4ce5-916f-34c135b42920"/>
    <ds:schemaRef ds:uri="4e400a02-b582-451c-b3dc-e10c465ad357"/>
  </ds:schemaRefs>
</ds:datastoreItem>
</file>

<file path=customXml/itemProps2.xml><?xml version="1.0" encoding="utf-8"?>
<ds:datastoreItem xmlns:ds="http://schemas.openxmlformats.org/officeDocument/2006/customXml" ds:itemID="{A358DE0C-DFAD-4C17-833B-C98CC5B686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28d30e-0349-4ce5-916f-34c135b42920"/>
    <ds:schemaRef ds:uri="4e400a02-b582-451c-b3dc-e10c465ad3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79CD9C-0A06-4A2D-9615-B897DCDC7E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How To Guide</vt:lpstr>
      <vt:lpstr>Transition Calculator</vt:lpstr>
      <vt:lpstr>Patient Handout</vt:lpstr>
      <vt:lpstr>Version control</vt:lpstr>
      <vt:lpstr>'How To Guide'!Print_Area</vt:lpstr>
      <vt:lpstr>'Patient Handout'!Print_Area</vt:lpstr>
      <vt:lpstr>'Transition Calculator'!Print_Area</vt:lpstr>
    </vt:vector>
  </TitlesOfParts>
  <Manager/>
  <Company>Nestle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uscoodera</dc:creator>
  <cp:keywords/>
  <dc:description/>
  <cp:lastModifiedBy>Amy Watkins</cp:lastModifiedBy>
  <cp:revision/>
  <dcterms:created xsi:type="dcterms:W3CDTF">2017-08-10T18:08:56Z</dcterms:created>
  <dcterms:modified xsi:type="dcterms:W3CDTF">2022-09-06T10:26:35Z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0x010100D2C88AB88D879642888610102F93C26F</vt:lpwstr>
  </property>
  <property fmtid="{D5CDD505-2E9C-101B-9397-08002B2CF9AE}" pid="3" name="MediaServiceImageTags">
    <vt:lpwstr/>
  </property>
</Properties>
</file>